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8070" tabRatio="906"/>
  </bookViews>
  <sheets>
    <sheet name="1.1" sheetId="1" r:id="rId1"/>
    <sheet name="1.2" sheetId="2" r:id="rId2"/>
    <sheet name="1.3" sheetId="3" r:id="rId3"/>
    <sheet name="2.0" sheetId="4" r:id="rId4"/>
    <sheet name="3.a" sheetId="5" r:id="rId5"/>
    <sheet name="3.b" sheetId="6" r:id="rId6"/>
    <sheet name="4.0" sheetId="7" r:id="rId7"/>
    <sheet name="5.0" sheetId="8" r:id="rId8"/>
    <sheet name="6.a" sheetId="9" r:id="rId9"/>
    <sheet name="6.b" sheetId="10" r:id="rId10"/>
    <sheet name="7.a" sheetId="11" r:id="rId11"/>
    <sheet name="7.b" sheetId="12" r:id="rId12"/>
    <sheet name="8.a" sheetId="13" r:id="rId13"/>
    <sheet name="8.b" sheetId="14" r:id="rId14"/>
    <sheet name="8.c" sheetId="15" r:id="rId15"/>
    <sheet name="9.a" sheetId="16" r:id="rId16"/>
    <sheet name="9.b" sheetId="17" r:id="rId17"/>
    <sheet name="10.0" sheetId="18" r:id="rId18"/>
    <sheet name="11.a" sheetId="19" r:id="rId19"/>
    <sheet name="11.b" sheetId="20" r:id="rId20"/>
    <sheet name="12.0" sheetId="21" r:id="rId21"/>
    <sheet name="13.a" sheetId="22" r:id="rId22"/>
    <sheet name="13.b" sheetId="23" r:id="rId23"/>
    <sheet name="14.A" sheetId="24" r:id="rId24"/>
    <sheet name="14.B" sheetId="25" r:id="rId25"/>
    <sheet name="15.a" sheetId="26" r:id="rId26"/>
    <sheet name="15.b" sheetId="27" r:id="rId27"/>
    <sheet name="16.a" sheetId="28" r:id="rId28"/>
    <sheet name="16.b" sheetId="29" r:id="rId29"/>
    <sheet name="17.0" sheetId="30" r:id="rId30"/>
    <sheet name="18.0" sheetId="31" r:id="rId31"/>
    <sheet name="19.0" sheetId="32" r:id="rId32"/>
    <sheet name="20.a" sheetId="33" r:id="rId33"/>
    <sheet name="20.b" sheetId="34" r:id="rId34"/>
    <sheet name="21.a" sheetId="35" r:id="rId35"/>
    <sheet name="21.b" sheetId="36" r:id="rId36"/>
    <sheet name="22.a" sheetId="37" r:id="rId37"/>
    <sheet name="22.b" sheetId="38" r:id="rId38"/>
    <sheet name="23.0" sheetId="39" r:id="rId39"/>
    <sheet name="24.0" sheetId="40" r:id="rId40"/>
    <sheet name="25.0" sheetId="41" r:id="rId41"/>
    <sheet name="26.0" sheetId="42" r:id="rId42"/>
    <sheet name="27.0" sheetId="43" r:id="rId43"/>
    <sheet name="28.0" sheetId="44" r:id="rId44"/>
    <sheet name="29.0" sheetId="45" r:id="rId45"/>
    <sheet name="30.0" sheetId="46" r:id="rId46"/>
    <sheet name="31.0" sheetId="47" r:id="rId47"/>
    <sheet name="32.0" sheetId="48" r:id="rId48"/>
    <sheet name="33.0" sheetId="49" r:id="rId49"/>
    <sheet name="34.0" sheetId="50" r:id="rId50"/>
    <sheet name="35.0" sheetId="51" r:id="rId51"/>
    <sheet name="36.0" sheetId="52" r:id="rId52"/>
    <sheet name="37.a" sheetId="53" r:id="rId53"/>
    <sheet name="37.b " sheetId="54" r:id="rId54"/>
    <sheet name="37.c" sheetId="55" r:id="rId55"/>
    <sheet name="37.d " sheetId="56" r:id="rId56"/>
    <sheet name="37.e" sheetId="57" r:id="rId57"/>
    <sheet name="38.0" sheetId="58" r:id="rId58"/>
    <sheet name="39.a" sheetId="59" r:id="rId59"/>
    <sheet name="39.b" sheetId="60" r:id="rId60"/>
    <sheet name="39.c" sheetId="61" r:id="rId61"/>
    <sheet name="39.d" sheetId="62" r:id="rId62"/>
    <sheet name="40.a" sheetId="63" r:id="rId63"/>
    <sheet name="40.b" sheetId="64" r:id="rId64"/>
    <sheet name="40.c" sheetId="65" r:id="rId65"/>
    <sheet name="40.d" sheetId="66" r:id="rId66"/>
    <sheet name="41.a" sheetId="67" r:id="rId67"/>
    <sheet name="41.b" sheetId="68" r:id="rId68"/>
    <sheet name="41.c" sheetId="69" r:id="rId69"/>
    <sheet name="42.0" sheetId="70" r:id="rId70"/>
    <sheet name="43.0" sheetId="71" r:id="rId71"/>
    <sheet name="44.a" sheetId="72" r:id="rId72"/>
    <sheet name="44 .b" sheetId="79" r:id="rId73"/>
    <sheet name="44.c " sheetId="78" r:id="rId74"/>
    <sheet name="45" sheetId="73" r:id="rId75"/>
    <sheet name="46.a" sheetId="74" r:id="rId76"/>
    <sheet name="46.b" sheetId="75" r:id="rId77"/>
    <sheet name="46.c" sheetId="76" r:id="rId78"/>
  </sheets>
  <definedNames>
    <definedName name="_xlnm.Print_Area" localSheetId="0">'1.1'!$A$1:$I$25</definedName>
    <definedName name="_xlnm.Print_Area" localSheetId="1">'1.2'!$A$1:$I$22</definedName>
    <definedName name="_xlnm.Print_Area" localSheetId="2">'1.3'!$A$1:$I$29</definedName>
    <definedName name="_xlnm.Print_Area" localSheetId="17">'10.0'!$A$1:$K$34</definedName>
    <definedName name="_xlnm.Print_Area" localSheetId="18">'11.a'!$A$1:$H$56</definedName>
    <definedName name="_xlnm.Print_Area" localSheetId="21">'13.a'!$A$1:$H$25</definedName>
    <definedName name="_xlnm.Print_Area" localSheetId="31">'19.0'!$A$1:$E$24</definedName>
    <definedName name="_xlnm.Print_Area" localSheetId="36">'22.a'!$A$1:$K$45</definedName>
    <definedName name="_xlnm.Print_Area" localSheetId="37">'22.b'!$A$1:$F$30</definedName>
    <definedName name="_xlnm.Print_Area" localSheetId="39">'24.0'!$A$1:$H$52</definedName>
    <definedName name="_xlnm.Print_Area" localSheetId="43">'28.0'!$A$1:$J$9</definedName>
    <definedName name="_xlnm.Print_Area" localSheetId="4">'3.a'!$A$1:$E$23</definedName>
    <definedName name="_xlnm.Print_Area" localSheetId="47">'32.0'!$A$1:$D$20</definedName>
    <definedName name="_xlnm.Print_Area" localSheetId="53">'37.b '!$A$1:$K$12</definedName>
    <definedName name="_xlnm.Print_Area" localSheetId="56">'37.e'!$A$1:$E$11</definedName>
    <definedName name="_xlnm.Print_Area" localSheetId="57">'38.0'!$A$1:$F$18</definedName>
    <definedName name="_xlnm.Print_Area" localSheetId="58">'39.a'!$A$1:$G$10</definedName>
    <definedName name="_xlnm.Print_Area" localSheetId="6">'4.0'!$A$1:$H$30</definedName>
    <definedName name="_xlnm.Print_Area" localSheetId="63">'40.b'!$A$1:$E$21</definedName>
    <definedName name="_xlnm.Print_Area" localSheetId="69">'42.0'!$A$1:$E$65</definedName>
    <definedName name="_xlnm.Print_Area" localSheetId="71">'44.a'!$A$1:$W$50</definedName>
    <definedName name="_xlnm.Print_Area" localSheetId="7">'5.0'!$A$1:$L$5</definedName>
    <definedName name="_xlnm.Print_Area" localSheetId="8">'6.a'!$A$1:$E$21</definedName>
    <definedName name="_xlnm.Print_Area" localSheetId="9">'6.b'!$A$1:$E$19</definedName>
    <definedName name="_xlnm.Print_Area" localSheetId="10">'7.a'!$A$1:$I$25</definedName>
    <definedName name="_xlnm.Print_Area" localSheetId="11">'7.b'!$A$1:$E$20</definedName>
    <definedName name="_xlnm.Print_Area" localSheetId="12">'8.a'!$A$1:$H$20</definedName>
    <definedName name="_xlnm.Print_Area" localSheetId="14">'8.c'!$A$1:$G$12</definedName>
    <definedName name="_xlnm.Print_Area" localSheetId="15">'9.a'!$A$1:$H$19</definedName>
  </definedNames>
  <calcPr calcId="125725"/>
  <customWorkbookViews>
    <customWorkbookView name="Dufrane - Personal View" guid="{5D819D0C-25F7-408A-B978-F4F86F7655CA}" mergeInterval="0" personalView="1" maximized="1" windowWidth="1148" windowHeight="638" activeSheetId="14"/>
    <customWorkbookView name="Bertels - Personal View" guid="{38D2783F-AA27-4F4E-971B-4DC317F376AA}" mergeInterval="0" personalView="1" maximized="1" windowWidth="1276" windowHeight="744" activeSheetId="4" showComments="commIndAndComment"/>
    <customWorkbookView name="Gerard - Personal View" guid="{5B30C222-34DE-40B1-88FD-0AC1604C96E8}" mergeInterval="0" personalView="1" xWindow="14" yWindow="39" windowWidth="997" windowHeight="497" activeSheetId="3"/>
  </customWorkbookViews>
</workbook>
</file>

<file path=xl/calcChain.xml><?xml version="1.0" encoding="utf-8"?>
<calcChain xmlns="http://schemas.openxmlformats.org/spreadsheetml/2006/main">
  <c r="D73" i="78"/>
  <c r="D83"/>
  <c r="D82"/>
  <c r="D81"/>
  <c r="D80"/>
  <c r="D79"/>
  <c r="D78"/>
  <c r="D77"/>
  <c r="D76"/>
  <c r="D75"/>
  <c r="D74"/>
  <c r="D47" i="34" l="1"/>
  <c r="D46"/>
  <c r="D45"/>
  <c r="D34" i="16"/>
  <c r="H18"/>
  <c r="D34" i="13"/>
  <c r="I18"/>
  <c r="G18"/>
  <c r="H18"/>
  <c r="E28" i="7"/>
  <c r="D34"/>
  <c r="D33"/>
  <c r="D32"/>
  <c r="D82" i="37"/>
  <c r="D56"/>
  <c r="D33" i="35"/>
  <c r="D25"/>
  <c r="D103"/>
  <c r="D76" i="16"/>
  <c r="D62"/>
  <c r="D47" i="13"/>
  <c r="D81"/>
  <c r="D80"/>
  <c r="C20" i="12"/>
  <c r="D92" i="11"/>
  <c r="D71"/>
  <c r="D42"/>
  <c r="D26" i="10"/>
  <c r="D25"/>
  <c r="D24"/>
  <c r="D23"/>
  <c r="G22" i="11"/>
  <c r="H22"/>
  <c r="D22"/>
  <c r="E22"/>
  <c r="F22"/>
  <c r="G28" i="7"/>
  <c r="F28"/>
  <c r="D59" i="9"/>
  <c r="D61" i="7"/>
  <c r="D60"/>
  <c r="D83" i="37"/>
  <c r="D105" i="35"/>
  <c r="D61" i="33"/>
  <c r="D30" i="17"/>
  <c r="D29"/>
  <c r="D28"/>
  <c r="D77" i="16"/>
  <c r="H16"/>
  <c r="H15"/>
  <c r="H14"/>
  <c r="H13"/>
  <c r="H12"/>
  <c r="H10"/>
  <c r="H9"/>
  <c r="H8"/>
  <c r="H7"/>
  <c r="H6"/>
  <c r="D31" i="14"/>
  <c r="D30"/>
  <c r="D29"/>
  <c r="H16" i="13"/>
  <c r="H15"/>
  <c r="H14"/>
  <c r="H13"/>
  <c r="H12"/>
  <c r="H10"/>
  <c r="H9"/>
  <c r="H8"/>
  <c r="H7"/>
  <c r="H6"/>
  <c r="D37" i="12"/>
  <c r="D36"/>
  <c r="D35"/>
  <c r="D94" i="11"/>
  <c r="D35" i="10"/>
  <c r="D36"/>
  <c r="D37"/>
  <c r="D51" i="5"/>
  <c r="D16" i="29"/>
  <c r="C66" i="70"/>
  <c r="D59" i="37"/>
  <c r="D60"/>
  <c r="D61"/>
  <c r="D62"/>
  <c r="D74"/>
  <c r="D75"/>
  <c r="D77"/>
  <c r="D78"/>
  <c r="D79"/>
  <c r="D80"/>
  <c r="D81"/>
  <c r="C14" i="53"/>
  <c r="D56" i="27" s="1"/>
  <c r="I15"/>
  <c r="I14"/>
  <c r="E17" i="39"/>
  <c r="D22"/>
  <c r="F17"/>
  <c r="D23"/>
  <c r="G17"/>
  <c r="D24"/>
  <c r="D17"/>
  <c r="D21"/>
  <c r="D47" i="70"/>
  <c r="D21"/>
  <c r="C67"/>
  <c r="D5"/>
  <c r="C65"/>
  <c r="D20"/>
  <c r="H11" i="1"/>
  <c r="H14"/>
  <c r="H23"/>
  <c r="D29"/>
  <c r="H18"/>
  <c r="G11"/>
  <c r="G14"/>
  <c r="G18"/>
  <c r="G23"/>
  <c r="D28"/>
  <c r="F11"/>
  <c r="F14"/>
  <c r="F18"/>
  <c r="F23"/>
  <c r="E22"/>
  <c r="E21"/>
  <c r="E20"/>
  <c r="E19"/>
  <c r="E17"/>
  <c r="E16"/>
  <c r="E15"/>
  <c r="E13"/>
  <c r="E12"/>
  <c r="E11"/>
  <c r="E10"/>
  <c r="E9"/>
  <c r="E8"/>
  <c r="E7"/>
  <c r="E6"/>
  <c r="E5"/>
  <c r="E4"/>
  <c r="E3"/>
  <c r="H3" i="3"/>
  <c r="H7"/>
  <c r="H26"/>
  <c r="H10"/>
  <c r="H23"/>
  <c r="G3"/>
  <c r="G7"/>
  <c r="G10"/>
  <c r="G23"/>
  <c r="G26"/>
  <c r="F3"/>
  <c r="F7"/>
  <c r="F10"/>
  <c r="D69"/>
  <c r="F23"/>
  <c r="E23"/>
  <c r="E25"/>
  <c r="E24"/>
  <c r="E22"/>
  <c r="E21"/>
  <c r="E20"/>
  <c r="E19"/>
  <c r="E18"/>
  <c r="E17"/>
  <c r="E16"/>
  <c r="E15"/>
  <c r="E14"/>
  <c r="E13"/>
  <c r="E12"/>
  <c r="E11"/>
  <c r="E9"/>
  <c r="E8"/>
  <c r="E6"/>
  <c r="E5"/>
  <c r="E4"/>
  <c r="D39" i="78"/>
  <c r="I39"/>
  <c r="D42" i="79"/>
  <c r="C56"/>
  <c r="D39"/>
  <c r="C55"/>
  <c r="M49" i="72"/>
  <c r="D17" i="71"/>
  <c r="C123" s="1"/>
  <c r="N49" i="72"/>
  <c r="D18" i="71"/>
  <c r="C124" s="1"/>
  <c r="N16" i="78"/>
  <c r="W22" i="72"/>
  <c r="C120" i="71"/>
  <c r="D8"/>
  <c r="C119" s="1"/>
  <c r="D4"/>
  <c r="D22"/>
  <c r="C109"/>
  <c r="D31"/>
  <c r="G5" i="65"/>
  <c r="D9"/>
  <c r="D58" i="71"/>
  <c r="C106"/>
  <c r="D70"/>
  <c r="C105"/>
  <c r="D87"/>
  <c r="D76"/>
  <c r="C8" i="58"/>
  <c r="C7"/>
  <c r="D6"/>
  <c r="D5"/>
  <c r="D21" s="1"/>
  <c r="D4"/>
  <c r="D12" i="53"/>
  <c r="C12"/>
  <c r="D24" i="33"/>
  <c r="D23"/>
  <c r="D22"/>
  <c r="D20"/>
  <c r="D19"/>
  <c r="D17"/>
  <c r="D16"/>
  <c r="D49" s="1"/>
  <c r="D15"/>
  <c r="D14"/>
  <c r="D13" s="1"/>
  <c r="D12"/>
  <c r="D11"/>
  <c r="D9"/>
  <c r="D59" i="7" s="1"/>
  <c r="D8" i="33"/>
  <c r="D41" s="1"/>
  <c r="D7"/>
  <c r="D6"/>
  <c r="D4" s="1"/>
  <c r="D5"/>
  <c r="G12" i="15"/>
  <c r="D64" i="13" s="1"/>
  <c r="F12" i="15"/>
  <c r="E12"/>
  <c r="D62" i="13" s="1"/>
  <c r="D12" i="15"/>
  <c r="D18" i="9"/>
  <c r="D44" s="1"/>
  <c r="D17"/>
  <c r="D16"/>
  <c r="D42" s="1"/>
  <c r="D15"/>
  <c r="D14"/>
  <c r="D40" s="1"/>
  <c r="D12"/>
  <c r="D11"/>
  <c r="D10"/>
  <c r="D9"/>
  <c r="D7" s="1"/>
  <c r="D8"/>
  <c r="D6"/>
  <c r="D32" s="1"/>
  <c r="D5"/>
  <c r="D20" i="5"/>
  <c r="D19"/>
  <c r="D18"/>
  <c r="D17"/>
  <c r="D16"/>
  <c r="D14"/>
  <c r="D13"/>
  <c r="D12"/>
  <c r="D11"/>
  <c r="D10"/>
  <c r="D8"/>
  <c r="D7"/>
  <c r="D6"/>
  <c r="D4"/>
  <c r="D95" i="71"/>
  <c r="C114"/>
  <c r="N38" i="78"/>
  <c r="N20"/>
  <c r="N21"/>
  <c r="N29"/>
  <c r="N23"/>
  <c r="N7"/>
  <c r="N8"/>
  <c r="N10"/>
  <c r="N40"/>
  <c r="D46"/>
  <c r="N11"/>
  <c r="N12"/>
  <c r="N13"/>
  <c r="N14"/>
  <c r="N15"/>
  <c r="N17"/>
  <c r="D53"/>
  <c r="N19"/>
  <c r="N22"/>
  <c r="N24"/>
  <c r="N25"/>
  <c r="D60"/>
  <c r="N27"/>
  <c r="N28"/>
  <c r="N30"/>
  <c r="N32"/>
  <c r="N33"/>
  <c r="N34"/>
  <c r="N35"/>
  <c r="N37"/>
  <c r="N6"/>
  <c r="D43"/>
  <c r="E39"/>
  <c r="F39"/>
  <c r="J39"/>
  <c r="N39"/>
  <c r="D71"/>
  <c r="K39"/>
  <c r="L39"/>
  <c r="M39"/>
  <c r="H39"/>
  <c r="G39"/>
  <c r="D10" i="79"/>
  <c r="D14"/>
  <c r="D18"/>
  <c r="D23"/>
  <c r="D27"/>
  <c r="V49" i="72"/>
  <c r="D49"/>
  <c r="E49"/>
  <c r="F49"/>
  <c r="G49"/>
  <c r="H49"/>
  <c r="I49"/>
  <c r="J49"/>
  <c r="K49"/>
  <c r="L49"/>
  <c r="O49"/>
  <c r="P49"/>
  <c r="Q49"/>
  <c r="R49"/>
  <c r="S49"/>
  <c r="T49"/>
  <c r="W50"/>
  <c r="U49"/>
  <c r="W48"/>
  <c r="W16"/>
  <c r="W32"/>
  <c r="W33"/>
  <c r="W25"/>
  <c r="W26"/>
  <c r="W8"/>
  <c r="W9"/>
  <c r="W10"/>
  <c r="W11"/>
  <c r="W12"/>
  <c r="W13"/>
  <c r="W14"/>
  <c r="W15"/>
  <c r="W17"/>
  <c r="W18"/>
  <c r="W19"/>
  <c r="D67"/>
  <c r="W20"/>
  <c r="W21"/>
  <c r="W23"/>
  <c r="W24"/>
  <c r="W27"/>
  <c r="W28"/>
  <c r="W29"/>
  <c r="W30"/>
  <c r="W31"/>
  <c r="W34"/>
  <c r="W35"/>
  <c r="W36"/>
  <c r="W37"/>
  <c r="W38"/>
  <c r="W39"/>
  <c r="W40"/>
  <c r="W41"/>
  <c r="W49"/>
  <c r="W42"/>
  <c r="W43"/>
  <c r="W44"/>
  <c r="W45"/>
  <c r="W46"/>
  <c r="W47"/>
  <c r="W7"/>
  <c r="W6"/>
  <c r="C11" i="73"/>
  <c r="D20"/>
  <c r="C7"/>
  <c r="D19"/>
  <c r="C4"/>
  <c r="D18"/>
  <c r="D10" i="69"/>
  <c r="K27" i="68"/>
  <c r="D25"/>
  <c r="E25"/>
  <c r="F25"/>
  <c r="K25"/>
  <c r="G25"/>
  <c r="H25"/>
  <c r="I25"/>
  <c r="J25"/>
  <c r="K24"/>
  <c r="K23"/>
  <c r="K22"/>
  <c r="K21"/>
  <c r="K20"/>
  <c r="K19"/>
  <c r="K18"/>
  <c r="K17"/>
  <c r="K16"/>
  <c r="D14"/>
  <c r="K14"/>
  <c r="E14"/>
  <c r="F14"/>
  <c r="G14"/>
  <c r="H14"/>
  <c r="I14"/>
  <c r="J14"/>
  <c r="K13"/>
  <c r="K12"/>
  <c r="K11"/>
  <c r="K10"/>
  <c r="K9"/>
  <c r="K8"/>
  <c r="K7"/>
  <c r="K6"/>
  <c r="K31" i="67"/>
  <c r="K30"/>
  <c r="K29"/>
  <c r="D18"/>
  <c r="D24"/>
  <c r="D21"/>
  <c r="E18"/>
  <c r="E24"/>
  <c r="E21"/>
  <c r="F18"/>
  <c r="K18"/>
  <c r="F24"/>
  <c r="F21"/>
  <c r="G18"/>
  <c r="G24"/>
  <c r="G21"/>
  <c r="H18"/>
  <c r="H24"/>
  <c r="H21"/>
  <c r="I18"/>
  <c r="I24"/>
  <c r="I21"/>
  <c r="J18"/>
  <c r="J24"/>
  <c r="J21"/>
  <c r="K27"/>
  <c r="K26"/>
  <c r="K25"/>
  <c r="K23"/>
  <c r="K22"/>
  <c r="K20"/>
  <c r="K19"/>
  <c r="D5"/>
  <c r="K5"/>
  <c r="D12"/>
  <c r="E5"/>
  <c r="E12"/>
  <c r="E16"/>
  <c r="F5"/>
  <c r="F12"/>
  <c r="F16"/>
  <c r="D52"/>
  <c r="G5"/>
  <c r="G12"/>
  <c r="G16"/>
  <c r="D53"/>
  <c r="H5"/>
  <c r="H12"/>
  <c r="H16"/>
  <c r="D54"/>
  <c r="I5"/>
  <c r="I12"/>
  <c r="I16"/>
  <c r="D55"/>
  <c r="J5"/>
  <c r="J12"/>
  <c r="J16"/>
  <c r="D56"/>
  <c r="K15"/>
  <c r="K14"/>
  <c r="K13"/>
  <c r="K11"/>
  <c r="K10"/>
  <c r="K9"/>
  <c r="K8"/>
  <c r="K7"/>
  <c r="K6"/>
  <c r="G5" i="63"/>
  <c r="G6"/>
  <c r="G11"/>
  <c r="G7"/>
  <c r="G8"/>
  <c r="G9"/>
  <c r="G10"/>
  <c r="F11"/>
  <c r="E11"/>
  <c r="D11"/>
  <c r="C11"/>
  <c r="D9" i="62"/>
  <c r="C9"/>
  <c r="C9" i="61"/>
  <c r="C8" i="60"/>
  <c r="E9" i="59"/>
  <c r="D9"/>
  <c r="D11" i="57"/>
  <c r="D10" i="56"/>
  <c r="C10"/>
  <c r="D5"/>
  <c r="C5"/>
  <c r="D11" i="55"/>
  <c r="D9"/>
  <c r="K9" i="54"/>
  <c r="J9"/>
  <c r="C9"/>
  <c r="D9"/>
  <c r="I9"/>
  <c r="E9"/>
  <c r="F9"/>
  <c r="G9"/>
  <c r="H9"/>
  <c r="I8"/>
  <c r="I6"/>
  <c r="C5" i="53"/>
  <c r="D5"/>
  <c r="E5"/>
  <c r="C22" s="1"/>
  <c r="E17"/>
  <c r="E16"/>
  <c r="C31" s="1"/>
  <c r="E14"/>
  <c r="E12"/>
  <c r="E9"/>
  <c r="E8"/>
  <c r="E7"/>
  <c r="E6"/>
  <c r="D12" i="52"/>
  <c r="D14"/>
  <c r="D6"/>
  <c r="D8"/>
  <c r="C22"/>
  <c r="D9" i="50"/>
  <c r="D13"/>
  <c r="D9" i="49"/>
  <c r="C13"/>
  <c r="D6" i="48"/>
  <c r="D4"/>
  <c r="D14"/>
  <c r="D12"/>
  <c r="C25"/>
  <c r="F4" i="47"/>
  <c r="F5"/>
  <c r="F6"/>
  <c r="F7"/>
  <c r="F8"/>
  <c r="E8"/>
  <c r="D8"/>
  <c r="D4" i="46"/>
  <c r="E4"/>
  <c r="F4"/>
  <c r="F8"/>
  <c r="F10"/>
  <c r="F12"/>
  <c r="F13"/>
  <c r="F11"/>
  <c r="F15"/>
  <c r="F16"/>
  <c r="E11"/>
  <c r="E17"/>
  <c r="C21"/>
  <c r="D11"/>
  <c r="D17"/>
  <c r="C20"/>
  <c r="F6"/>
  <c r="F5"/>
  <c r="G6" i="45"/>
  <c r="D16"/>
  <c r="F4"/>
  <c r="F5"/>
  <c r="F6"/>
  <c r="E6"/>
  <c r="D6"/>
  <c r="E5" i="4"/>
  <c r="D95"/>
  <c r="E18"/>
  <c r="D97"/>
  <c r="E27"/>
  <c r="D98"/>
  <c r="E33"/>
  <c r="D99"/>
  <c r="E39"/>
  <c r="D100"/>
  <c r="E51"/>
  <c r="D90"/>
  <c r="E54"/>
  <c r="D11" i="71"/>
  <c r="C121" s="1"/>
  <c r="E60" i="4"/>
  <c r="D93"/>
  <c r="E65"/>
  <c r="D94"/>
  <c r="E59"/>
  <c r="D92"/>
  <c r="F4" i="44"/>
  <c r="D21"/>
  <c r="F5"/>
  <c r="F6"/>
  <c r="F7"/>
  <c r="F8"/>
  <c r="E9"/>
  <c r="D9"/>
  <c r="D27" i="43"/>
  <c r="C35"/>
  <c r="D6"/>
  <c r="D11"/>
  <c r="D20"/>
  <c r="D13" i="42"/>
  <c r="D13" i="41"/>
  <c r="E13"/>
  <c r="F13"/>
  <c r="G13"/>
  <c r="H13"/>
  <c r="I13"/>
  <c r="J13"/>
  <c r="K13"/>
  <c r="K12"/>
  <c r="K11"/>
  <c r="K10"/>
  <c r="K9"/>
  <c r="K8"/>
  <c r="K7"/>
  <c r="K6"/>
  <c r="K5"/>
  <c r="G50" i="40"/>
  <c r="F50"/>
  <c r="E50"/>
  <c r="D50"/>
  <c r="I6" i="37"/>
  <c r="I7"/>
  <c r="I8"/>
  <c r="I9"/>
  <c r="I21"/>
  <c r="I22"/>
  <c r="I24"/>
  <c r="I25"/>
  <c r="I26"/>
  <c r="I27"/>
  <c r="I28"/>
  <c r="F5" i="38"/>
  <c r="F14"/>
  <c r="F10"/>
  <c r="F23"/>
  <c r="F20"/>
  <c r="D43"/>
  <c r="E5"/>
  <c r="E14"/>
  <c r="E10"/>
  <c r="E23"/>
  <c r="E20"/>
  <c r="D5"/>
  <c r="D14"/>
  <c r="D10"/>
  <c r="D23"/>
  <c r="D20"/>
  <c r="H5" i="37"/>
  <c r="D58"/>
  <c r="H11"/>
  <c r="D64"/>
  <c r="I11"/>
  <c r="H12"/>
  <c r="D65"/>
  <c r="I12"/>
  <c r="H13"/>
  <c r="D66"/>
  <c r="I13"/>
  <c r="H15"/>
  <c r="D68"/>
  <c r="I15"/>
  <c r="H16"/>
  <c r="D69"/>
  <c r="I16"/>
  <c r="H17"/>
  <c r="D70"/>
  <c r="I17"/>
  <c r="H18"/>
  <c r="D71"/>
  <c r="I18"/>
  <c r="H19"/>
  <c r="D72"/>
  <c r="H14"/>
  <c r="D67"/>
  <c r="H23"/>
  <c r="D76"/>
  <c r="G14"/>
  <c r="F14"/>
  <c r="E14"/>
  <c r="D14"/>
  <c r="D10"/>
  <c r="G10"/>
  <c r="F10"/>
  <c r="D51"/>
  <c r="E10"/>
  <c r="H24" i="36"/>
  <c r="I24"/>
  <c r="G24"/>
  <c r="F5"/>
  <c r="F10"/>
  <c r="F18"/>
  <c r="F15"/>
  <c r="E5"/>
  <c r="E10"/>
  <c r="E18"/>
  <c r="E15"/>
  <c r="D5"/>
  <c r="D10"/>
  <c r="D18"/>
  <c r="D15"/>
  <c r="F5" i="35"/>
  <c r="F10"/>
  <c r="F18"/>
  <c r="F15"/>
  <c r="E5"/>
  <c r="E10"/>
  <c r="E18"/>
  <c r="E15"/>
  <c r="D5"/>
  <c r="D10"/>
  <c r="D18"/>
  <c r="D15"/>
  <c r="H26" i="34"/>
  <c r="I26"/>
  <c r="G26"/>
  <c r="F4"/>
  <c r="F10"/>
  <c r="F13"/>
  <c r="F21"/>
  <c r="F18"/>
  <c r="E4"/>
  <c r="E10"/>
  <c r="E13"/>
  <c r="E21"/>
  <c r="E18"/>
  <c r="D4"/>
  <c r="D10"/>
  <c r="D13"/>
  <c r="D21"/>
  <c r="D18"/>
  <c r="D10" i="33"/>
  <c r="D43" s="1"/>
  <c r="D21"/>
  <c r="D54" s="1"/>
  <c r="H6" i="2"/>
  <c r="I29" i="38"/>
  <c r="H16" i="2"/>
  <c r="G6"/>
  <c r="H29" i="38"/>
  <c r="G16" i="2"/>
  <c r="F6"/>
  <c r="G29" i="38"/>
  <c r="F16" i="2"/>
  <c r="E16"/>
  <c r="E21"/>
  <c r="E20"/>
  <c r="E19"/>
  <c r="D14" i="42"/>
  <c r="E18" i="2"/>
  <c r="E17"/>
  <c r="E15"/>
  <c r="E14"/>
  <c r="E13"/>
  <c r="E12"/>
  <c r="F51" i="40"/>
  <c r="E11" i="2"/>
  <c r="E10"/>
  <c r="D25" i="39"/>
  <c r="E9" i="2"/>
  <c r="E8"/>
  <c r="E7"/>
  <c r="E6"/>
  <c r="C12" i="58"/>
  <c r="E5" i="2"/>
  <c r="D11" i="58"/>
  <c r="D27" s="1"/>
  <c r="E4" i="2"/>
  <c r="D10" i="58"/>
  <c r="D26" s="1"/>
  <c r="E3" i="2"/>
  <c r="D24" i="32"/>
  <c r="C24"/>
  <c r="D17"/>
  <c r="C17"/>
  <c r="C9"/>
  <c r="D11" i="31"/>
  <c r="E11"/>
  <c r="D16" i="30"/>
  <c r="F18" i="27"/>
  <c r="I24"/>
  <c r="I23"/>
  <c r="D18"/>
  <c r="E18"/>
  <c r="I18"/>
  <c r="G18"/>
  <c r="H18"/>
  <c r="I17"/>
  <c r="I16"/>
  <c r="I12"/>
  <c r="I11"/>
  <c r="I10"/>
  <c r="I9"/>
  <c r="I8"/>
  <c r="I7"/>
  <c r="I6"/>
  <c r="I5"/>
  <c r="H21" i="26"/>
  <c r="H20"/>
  <c r="D18"/>
  <c r="H18"/>
  <c r="F18"/>
  <c r="G18"/>
  <c r="H17"/>
  <c r="H16"/>
  <c r="H15"/>
  <c r="H14"/>
  <c r="C15" i="53"/>
  <c r="H13" i="26"/>
  <c r="H12"/>
  <c r="H11"/>
  <c r="D45"/>
  <c r="H10"/>
  <c r="H9"/>
  <c r="H8"/>
  <c r="H7"/>
  <c r="H6"/>
  <c r="H5"/>
  <c r="D18" i="24"/>
  <c r="H22" i="23"/>
  <c r="H21"/>
  <c r="H19"/>
  <c r="E14"/>
  <c r="D61"/>
  <c r="E18"/>
  <c r="F14"/>
  <c r="D62"/>
  <c r="F18"/>
  <c r="D57"/>
  <c r="G14"/>
  <c r="G18"/>
  <c r="H17"/>
  <c r="H16"/>
  <c r="H15"/>
  <c r="H13"/>
  <c r="H12"/>
  <c r="H11"/>
  <c r="H10"/>
  <c r="H9"/>
  <c r="H8"/>
  <c r="H7"/>
  <c r="H6"/>
  <c r="H5"/>
  <c r="H24" i="22"/>
  <c r="H23"/>
  <c r="C9" i="59"/>
  <c r="D15" s="1"/>
  <c r="H21" i="22"/>
  <c r="D16"/>
  <c r="D20"/>
  <c r="E20"/>
  <c r="F20"/>
  <c r="G16"/>
  <c r="G20"/>
  <c r="D36"/>
  <c r="H19"/>
  <c r="H18"/>
  <c r="H17"/>
  <c r="H16"/>
  <c r="H15"/>
  <c r="H14"/>
  <c r="D11" i="53"/>
  <c r="H13" i="22"/>
  <c r="H12"/>
  <c r="H11"/>
  <c r="H10"/>
  <c r="H9"/>
  <c r="H8"/>
  <c r="H7"/>
  <c r="H6"/>
  <c r="H5"/>
  <c r="G53" i="19"/>
  <c r="D110"/>
  <c r="F53"/>
  <c r="D109"/>
  <c r="E53"/>
  <c r="D108"/>
  <c r="G28"/>
  <c r="G55"/>
  <c r="D113"/>
  <c r="F28"/>
  <c r="D106"/>
  <c r="E28"/>
  <c r="D105"/>
  <c r="K5" i="18"/>
  <c r="K30"/>
  <c r="J20"/>
  <c r="J15"/>
  <c r="J30"/>
  <c r="D69"/>
  <c r="J9"/>
  <c r="J5"/>
  <c r="I20"/>
  <c r="I15"/>
  <c r="I9"/>
  <c r="I5"/>
  <c r="H20"/>
  <c r="H15"/>
  <c r="H9"/>
  <c r="H5"/>
  <c r="G20"/>
  <c r="G15"/>
  <c r="G9"/>
  <c r="F20"/>
  <c r="F15"/>
  <c r="F9"/>
  <c r="E20"/>
  <c r="E15"/>
  <c r="E9"/>
  <c r="D20"/>
  <c r="D15"/>
  <c r="D9"/>
  <c r="G16" i="17"/>
  <c r="H16"/>
  <c r="F16"/>
  <c r="E4"/>
  <c r="E10"/>
  <c r="E16" s="1"/>
  <c r="D4"/>
  <c r="D10"/>
  <c r="D16" s="1"/>
  <c r="C4"/>
  <c r="C10"/>
  <c r="C16" s="1"/>
  <c r="H5" i="16"/>
  <c r="H11"/>
  <c r="G5"/>
  <c r="G11"/>
  <c r="G18" s="1"/>
  <c r="D61" s="1"/>
  <c r="F5"/>
  <c r="F11"/>
  <c r="F18" s="1"/>
  <c r="D60" s="1"/>
  <c r="E5"/>
  <c r="E11"/>
  <c r="E18" s="1"/>
  <c r="D5"/>
  <c r="D11"/>
  <c r="D18"/>
  <c r="J12" i="15"/>
  <c r="I12"/>
  <c r="H12"/>
  <c r="K12"/>
  <c r="G16" i="14"/>
  <c r="H16"/>
  <c r="F16"/>
  <c r="E4"/>
  <c r="E10"/>
  <c r="E16" s="1"/>
  <c r="D4"/>
  <c r="D10"/>
  <c r="D16"/>
  <c r="C4"/>
  <c r="C10"/>
  <c r="C16" s="1"/>
  <c r="H5" i="13"/>
  <c r="H11"/>
  <c r="G5"/>
  <c r="G11"/>
  <c r="D77" s="1"/>
  <c r="F5"/>
  <c r="F11"/>
  <c r="F18" s="1"/>
  <c r="E5"/>
  <c r="E11"/>
  <c r="E18"/>
  <c r="D5"/>
  <c r="D11"/>
  <c r="D18" s="1"/>
  <c r="G20" i="12"/>
  <c r="H20"/>
  <c r="F20"/>
  <c r="E4"/>
  <c r="E8"/>
  <c r="E14"/>
  <c r="E20" s="1"/>
  <c r="D4"/>
  <c r="D8"/>
  <c r="D14"/>
  <c r="D20"/>
  <c r="C4"/>
  <c r="C8"/>
  <c r="C14"/>
  <c r="H5" i="11"/>
  <c r="H9"/>
  <c r="H15"/>
  <c r="F6"/>
  <c r="F7"/>
  <c r="F8"/>
  <c r="F5"/>
  <c r="F10"/>
  <c r="F11"/>
  <c r="F12"/>
  <c r="F13"/>
  <c r="F14"/>
  <c r="F9"/>
  <c r="F16"/>
  <c r="F17"/>
  <c r="F18"/>
  <c r="F19"/>
  <c r="F20"/>
  <c r="F15"/>
  <c r="E5"/>
  <c r="E9"/>
  <c r="E15"/>
  <c r="D5"/>
  <c r="D9"/>
  <c r="D15"/>
  <c r="D90"/>
  <c r="G19" i="10"/>
  <c r="H19"/>
  <c r="F19"/>
  <c r="E4"/>
  <c r="E7"/>
  <c r="E13"/>
  <c r="E19"/>
  <c r="D4"/>
  <c r="D7"/>
  <c r="D13"/>
  <c r="D19"/>
  <c r="C4"/>
  <c r="C7"/>
  <c r="C13"/>
  <c r="C19"/>
  <c r="D4" i="9"/>
  <c r="D13"/>
  <c r="D26" s="1"/>
  <c r="E7"/>
  <c r="E13"/>
  <c r="E20"/>
  <c r="E5" i="6"/>
  <c r="E9"/>
  <c r="E15"/>
  <c r="E21"/>
  <c r="D40" s="1"/>
  <c r="D5"/>
  <c r="D9"/>
  <c r="D15"/>
  <c r="D21"/>
  <c r="D39" s="1"/>
  <c r="C5"/>
  <c r="D5" i="5"/>
  <c r="C9" i="6"/>
  <c r="C15"/>
  <c r="D15" i="5" s="1"/>
  <c r="C21" i="6"/>
  <c r="D38" s="1"/>
  <c r="D70" i="78"/>
  <c r="D69"/>
  <c r="D68"/>
  <c r="D67"/>
  <c r="D66"/>
  <c r="D65"/>
  <c r="D64"/>
  <c r="D63"/>
  <c r="D62"/>
  <c r="D61"/>
  <c r="D59"/>
  <c r="D58"/>
  <c r="D57"/>
  <c r="D56"/>
  <c r="D55"/>
  <c r="D54"/>
  <c r="D52"/>
  <c r="D51"/>
  <c r="D50"/>
  <c r="D49"/>
  <c r="D48"/>
  <c r="D47"/>
  <c r="D44"/>
  <c r="C110" i="71"/>
  <c r="C51" i="79"/>
  <c r="C50"/>
  <c r="C49"/>
  <c r="C48"/>
  <c r="C47"/>
  <c r="D117" i="72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7"/>
  <c r="D96"/>
  <c r="D95"/>
  <c r="D94"/>
  <c r="D93"/>
  <c r="D92"/>
  <c r="D91"/>
  <c r="D90"/>
  <c r="D89"/>
  <c r="D88"/>
  <c r="D87"/>
  <c r="D86"/>
  <c r="D85"/>
  <c r="D84"/>
  <c r="D83"/>
  <c r="D81"/>
  <c r="D80"/>
  <c r="D79"/>
  <c r="D78"/>
  <c r="D77"/>
  <c r="D76"/>
  <c r="D75"/>
  <c r="D74"/>
  <c r="D73"/>
  <c r="D72"/>
  <c r="D71"/>
  <c r="D70"/>
  <c r="D69"/>
  <c r="D68"/>
  <c r="D66"/>
  <c r="D65"/>
  <c r="D64"/>
  <c r="D63"/>
  <c r="D62"/>
  <c r="D61"/>
  <c r="D60"/>
  <c r="D59"/>
  <c r="D58"/>
  <c r="D57"/>
  <c r="D56"/>
  <c r="D55"/>
  <c r="D54"/>
  <c r="D13" i="76"/>
  <c r="D12"/>
  <c r="D11"/>
  <c r="D13" i="75"/>
  <c r="D12"/>
  <c r="D11"/>
  <c r="D16" i="74"/>
  <c r="D15"/>
  <c r="D14"/>
  <c r="D13"/>
  <c r="C13" i="69"/>
  <c r="D65" i="68"/>
  <c r="D63"/>
  <c r="D62"/>
  <c r="D61"/>
  <c r="D60"/>
  <c r="D59"/>
  <c r="D58"/>
  <c r="D57"/>
  <c r="D56"/>
  <c r="D55"/>
  <c r="D53"/>
  <c r="D52"/>
  <c r="D51"/>
  <c r="D50"/>
  <c r="D49"/>
  <c r="D48"/>
  <c r="D47"/>
  <c r="D46"/>
  <c r="D44"/>
  <c r="D43"/>
  <c r="D42"/>
  <c r="D41"/>
  <c r="D40"/>
  <c r="D39"/>
  <c r="D38"/>
  <c r="D36"/>
  <c r="D35"/>
  <c r="D34"/>
  <c r="D33"/>
  <c r="D32"/>
  <c r="D31"/>
  <c r="D30"/>
  <c r="D115" i="67"/>
  <c r="D114"/>
  <c r="D113"/>
  <c r="D111"/>
  <c r="D110"/>
  <c r="D109"/>
  <c r="D107"/>
  <c r="D106"/>
  <c r="D104"/>
  <c r="D103"/>
  <c r="D100"/>
  <c r="D99"/>
  <c r="D98"/>
  <c r="D96"/>
  <c r="D95"/>
  <c r="D94"/>
  <c r="D93"/>
  <c r="D92"/>
  <c r="D91"/>
  <c r="D80"/>
  <c r="D79"/>
  <c r="D78"/>
  <c r="D77"/>
  <c r="D76"/>
  <c r="D75"/>
  <c r="D74"/>
  <c r="D64"/>
  <c r="D63"/>
  <c r="D62"/>
  <c r="D61"/>
  <c r="D60"/>
  <c r="D59"/>
  <c r="D58"/>
  <c r="D48"/>
  <c r="D47"/>
  <c r="D46"/>
  <c r="D45"/>
  <c r="D44"/>
  <c r="D43"/>
  <c r="D42"/>
  <c r="D40"/>
  <c r="D39"/>
  <c r="D38"/>
  <c r="D37"/>
  <c r="D36"/>
  <c r="D35"/>
  <c r="D34"/>
  <c r="D24" i="63"/>
  <c r="D23"/>
  <c r="D22"/>
  <c r="D21"/>
  <c r="D19"/>
  <c r="D18"/>
  <c r="D17"/>
  <c r="D16"/>
  <c r="D15"/>
  <c r="D14"/>
  <c r="D14" i="62"/>
  <c r="D13"/>
  <c r="D12"/>
  <c r="D12" i="61"/>
  <c r="D11" i="60"/>
  <c r="D14" i="59"/>
  <c r="D13"/>
  <c r="D12"/>
  <c r="D29" i="58"/>
  <c r="D28"/>
  <c r="D25"/>
  <c r="D24"/>
  <c r="D23"/>
  <c r="D22"/>
  <c r="D20"/>
  <c r="C14" i="57"/>
  <c r="C19" i="56"/>
  <c r="C18"/>
  <c r="C17"/>
  <c r="C16"/>
  <c r="C17" i="55"/>
  <c r="C16"/>
  <c r="C24" i="54"/>
  <c r="C23"/>
  <c r="C22"/>
  <c r="C21"/>
  <c r="C19"/>
  <c r="C18"/>
  <c r="C17"/>
  <c r="C16"/>
  <c r="C15"/>
  <c r="C14"/>
  <c r="C48" i="53"/>
  <c r="C47"/>
  <c r="C35"/>
  <c r="C34"/>
  <c r="C32"/>
  <c r="C28"/>
  <c r="C25"/>
  <c r="C24"/>
  <c r="C23"/>
  <c r="C23" i="52"/>
  <c r="C21"/>
  <c r="D12" i="50"/>
  <c r="C12" i="49"/>
  <c r="C26" i="48"/>
  <c r="C24"/>
  <c r="D18" i="47"/>
  <c r="D17"/>
  <c r="D16"/>
  <c r="D15"/>
  <c r="D13"/>
  <c r="D12"/>
  <c r="C38" i="46"/>
  <c r="C37"/>
  <c r="C36"/>
  <c r="C35"/>
  <c r="C33"/>
  <c r="C32"/>
  <c r="C31"/>
  <c r="C30"/>
  <c r="C27"/>
  <c r="C26"/>
  <c r="C24"/>
  <c r="C23"/>
  <c r="D13" i="45"/>
  <c r="D12"/>
  <c r="D10"/>
  <c r="D9"/>
  <c r="D25" i="44"/>
  <c r="D24"/>
  <c r="D23"/>
  <c r="D22"/>
  <c r="D19"/>
  <c r="D18"/>
  <c r="D17"/>
  <c r="D16"/>
  <c r="D15"/>
  <c r="D13"/>
  <c r="D12"/>
  <c r="C33" i="43"/>
  <c r="C32"/>
  <c r="C31"/>
  <c r="D17" i="42"/>
  <c r="D15"/>
  <c r="D33" i="41"/>
  <c r="D32"/>
  <c r="D31"/>
  <c r="D30"/>
  <c r="D29"/>
  <c r="D28"/>
  <c r="D27"/>
  <c r="D26"/>
  <c r="D24"/>
  <c r="D23"/>
  <c r="D22"/>
  <c r="D21"/>
  <c r="D20"/>
  <c r="D19"/>
  <c r="D18"/>
  <c r="D62" i="40"/>
  <c r="D61"/>
  <c r="D60"/>
  <c r="D59"/>
  <c r="D58"/>
  <c r="D57"/>
  <c r="D56"/>
  <c r="D46" i="38"/>
  <c r="D45"/>
  <c r="D44"/>
  <c r="D40"/>
  <c r="D39"/>
  <c r="D38"/>
  <c r="D34"/>
  <c r="D33"/>
  <c r="D32"/>
  <c r="D54" i="37"/>
  <c r="D52"/>
  <c r="D50"/>
  <c r="D48"/>
  <c r="D47"/>
  <c r="D46"/>
  <c r="D45"/>
  <c r="D44"/>
  <c r="D43"/>
  <c r="D42"/>
  <c r="D41"/>
  <c r="D40"/>
  <c r="D39"/>
  <c r="D38"/>
  <c r="D37"/>
  <c r="D36"/>
  <c r="D35"/>
  <c r="D42" i="36"/>
  <c r="D41"/>
  <c r="D40"/>
  <c r="D39"/>
  <c r="D38"/>
  <c r="D37"/>
  <c r="D36"/>
  <c r="D35"/>
  <c r="D34"/>
  <c r="D102" i="35"/>
  <c r="D101"/>
  <c r="D100"/>
  <c r="D99"/>
  <c r="D98"/>
  <c r="D97"/>
  <c r="D96"/>
  <c r="D95"/>
  <c r="D93"/>
  <c r="D92"/>
  <c r="D91"/>
  <c r="D90"/>
  <c r="D89"/>
  <c r="D88"/>
  <c r="D87"/>
  <c r="D86"/>
  <c r="D85"/>
  <c r="D84"/>
  <c r="D82"/>
  <c r="D81"/>
  <c r="D80"/>
  <c r="D79"/>
  <c r="D78"/>
  <c r="D77"/>
  <c r="D76"/>
  <c r="D75"/>
  <c r="D73"/>
  <c r="D72"/>
  <c r="D71"/>
  <c r="D70"/>
  <c r="D69"/>
  <c r="D68"/>
  <c r="D67"/>
  <c r="D66"/>
  <c r="D65"/>
  <c r="D64"/>
  <c r="D62"/>
  <c r="D61"/>
  <c r="D60"/>
  <c r="D59"/>
  <c r="D58"/>
  <c r="D57"/>
  <c r="D56"/>
  <c r="D55"/>
  <c r="D53"/>
  <c r="D52"/>
  <c r="D51"/>
  <c r="D50"/>
  <c r="D49"/>
  <c r="D48"/>
  <c r="D47"/>
  <c r="D46"/>
  <c r="D45"/>
  <c r="D44"/>
  <c r="D41"/>
  <c r="D40"/>
  <c r="D39"/>
  <c r="D36"/>
  <c r="D35"/>
  <c r="D34"/>
  <c r="D31"/>
  <c r="D30"/>
  <c r="D29"/>
  <c r="D44" i="34"/>
  <c r="D43"/>
  <c r="D42"/>
  <c r="D41"/>
  <c r="D40"/>
  <c r="D39"/>
  <c r="D38"/>
  <c r="D37"/>
  <c r="D36"/>
  <c r="D58" i="33"/>
  <c r="D57"/>
  <c r="D56"/>
  <c r="D55"/>
  <c r="D53"/>
  <c r="D50"/>
  <c r="D48"/>
  <c r="D45"/>
  <c r="D44"/>
  <c r="D42"/>
  <c r="D40"/>
  <c r="D38"/>
  <c r="D35"/>
  <c r="D32"/>
  <c r="D41" i="32"/>
  <c r="D40"/>
  <c r="D39"/>
  <c r="D38"/>
  <c r="D37"/>
  <c r="D36"/>
  <c r="D48"/>
  <c r="D47"/>
  <c r="D46"/>
  <c r="D45"/>
  <c r="D44"/>
  <c r="D43"/>
  <c r="D42"/>
  <c r="D35"/>
  <c r="D34"/>
  <c r="D33"/>
  <c r="D32"/>
  <c r="D31"/>
  <c r="D30"/>
  <c r="D29"/>
  <c r="D16" i="31"/>
  <c r="D15"/>
  <c r="D22" i="30"/>
  <c r="D19" i="29"/>
  <c r="D18"/>
  <c r="D17"/>
  <c r="D19" i="28"/>
  <c r="D18"/>
  <c r="D17"/>
  <c r="D16"/>
  <c r="D9" i="25"/>
  <c r="D27" i="24"/>
  <c r="D26"/>
  <c r="D75" i="16"/>
  <c r="D74"/>
  <c r="D73"/>
  <c r="D72"/>
  <c r="D71"/>
  <c r="D70"/>
  <c r="D69"/>
  <c r="D68"/>
  <c r="D67"/>
  <c r="D66"/>
  <c r="D65"/>
  <c r="D64"/>
  <c r="D63" i="13"/>
  <c r="D61"/>
  <c r="D46"/>
  <c r="D45"/>
  <c r="D44"/>
  <c r="D43"/>
  <c r="D42"/>
  <c r="D41"/>
  <c r="D40"/>
  <c r="D39"/>
  <c r="D38"/>
  <c r="D37"/>
  <c r="D36"/>
  <c r="D35"/>
  <c r="D70" i="11"/>
  <c r="D69"/>
  <c r="D68"/>
  <c r="D67"/>
  <c r="D66"/>
  <c r="D65"/>
  <c r="D64"/>
  <c r="D63"/>
  <c r="D62"/>
  <c r="D61"/>
  <c r="D60"/>
  <c r="D59"/>
  <c r="D58"/>
  <c r="D57"/>
  <c r="D56"/>
  <c r="D55"/>
  <c r="D43" i="9"/>
  <c r="D41"/>
  <c r="D39"/>
  <c r="D38"/>
  <c r="D37"/>
  <c r="D36"/>
  <c r="D35"/>
  <c r="D34"/>
  <c r="D31"/>
  <c r="D57" i="2"/>
  <c r="D60" i="1"/>
  <c r="D47" i="5"/>
  <c r="D46"/>
  <c r="D45"/>
  <c r="D44"/>
  <c r="D43"/>
  <c r="D41"/>
  <c r="D40"/>
  <c r="D39"/>
  <c r="D38"/>
  <c r="D37"/>
  <c r="D35"/>
  <c r="D34"/>
  <c r="D33"/>
  <c r="D31"/>
  <c r="D54" i="27"/>
  <c r="D53"/>
  <c r="D52"/>
  <c r="D51"/>
  <c r="D50"/>
  <c r="D47"/>
  <c r="D46"/>
  <c r="D45"/>
  <c r="D44"/>
  <c r="D42"/>
  <c r="D41"/>
  <c r="D40"/>
  <c r="D39"/>
  <c r="D37"/>
  <c r="D36"/>
  <c r="D35"/>
  <c r="D34"/>
  <c r="D33"/>
  <c r="D32"/>
  <c r="D31"/>
  <c r="D30"/>
  <c r="D43" i="26"/>
  <c r="D42"/>
  <c r="D41"/>
  <c r="D40"/>
  <c r="D39"/>
  <c r="D38"/>
  <c r="D36"/>
  <c r="D35"/>
  <c r="D34"/>
  <c r="D33"/>
  <c r="D32"/>
  <c r="D31"/>
  <c r="D30"/>
  <c r="D29"/>
  <c r="D28"/>
  <c r="D27"/>
  <c r="D26"/>
  <c r="D25"/>
  <c r="D24"/>
  <c r="D25" i="24"/>
  <c r="D56" i="23"/>
  <c r="D55"/>
  <c r="D53"/>
  <c r="D52"/>
  <c r="D51"/>
  <c r="D50"/>
  <c r="D49"/>
  <c r="D47"/>
  <c r="D46"/>
  <c r="D45"/>
  <c r="D44"/>
  <c r="D43"/>
  <c r="D41"/>
  <c r="D40"/>
  <c r="D39"/>
  <c r="D37"/>
  <c r="D36"/>
  <c r="D35"/>
  <c r="D34"/>
  <c r="D33"/>
  <c r="D32"/>
  <c r="D31"/>
  <c r="D30"/>
  <c r="D29"/>
  <c r="D61" i="22"/>
  <c r="D60"/>
  <c r="D59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5"/>
  <c r="D34"/>
  <c r="D32"/>
  <c r="D31"/>
  <c r="D30"/>
  <c r="D29"/>
  <c r="D28"/>
  <c r="D10" i="20"/>
  <c r="D9"/>
  <c r="D107" i="19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105" i="18"/>
  <c r="D104"/>
  <c r="D103"/>
  <c r="D102"/>
  <c r="D101"/>
  <c r="D100"/>
  <c r="D99"/>
  <c r="D98"/>
  <c r="D97"/>
  <c r="D96"/>
  <c r="D95"/>
  <c r="D94"/>
  <c r="D93"/>
  <c r="D92"/>
  <c r="D90"/>
  <c r="D89"/>
  <c r="D88"/>
  <c r="D87"/>
  <c r="D86"/>
  <c r="D85"/>
  <c r="D84"/>
  <c r="D83"/>
  <c r="D82"/>
  <c r="D81"/>
  <c r="D78"/>
  <c r="D76"/>
  <c r="D75"/>
  <c r="D74"/>
  <c r="D73"/>
  <c r="D72"/>
  <c r="D71"/>
  <c r="D70"/>
  <c r="D68"/>
  <c r="D67"/>
  <c r="D66"/>
  <c r="D65"/>
  <c r="D63"/>
  <c r="D61"/>
  <c r="D60"/>
  <c r="D58"/>
  <c r="D56"/>
  <c r="D55"/>
  <c r="D53"/>
  <c r="D51"/>
  <c r="D49"/>
  <c r="D47"/>
  <c r="D45"/>
  <c r="D43"/>
  <c r="D41"/>
  <c r="D39"/>
  <c r="D27" i="17"/>
  <c r="D26"/>
  <c r="D25"/>
  <c r="D24"/>
  <c r="D23"/>
  <c r="D22"/>
  <c r="D57" i="16"/>
  <c r="D56"/>
  <c r="D55"/>
  <c r="D54"/>
  <c r="D53"/>
  <c r="D52"/>
  <c r="D51"/>
  <c r="D50"/>
  <c r="D49"/>
  <c r="D48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18" i="15"/>
  <c r="D17"/>
  <c r="D16"/>
  <c r="D15"/>
  <c r="D28" i="14"/>
  <c r="D27"/>
  <c r="D25"/>
  <c r="D24"/>
  <c r="D22"/>
  <c r="D21"/>
  <c r="D79" i="13"/>
  <c r="D78"/>
  <c r="D76"/>
  <c r="D75"/>
  <c r="D73"/>
  <c r="D72"/>
  <c r="D70"/>
  <c r="D69"/>
  <c r="D67"/>
  <c r="D66"/>
  <c r="D59"/>
  <c r="D58"/>
  <c r="D57"/>
  <c r="D56"/>
  <c r="D55"/>
  <c r="D54"/>
  <c r="D53"/>
  <c r="D52"/>
  <c r="D51"/>
  <c r="D50"/>
  <c r="D49"/>
  <c r="D48"/>
  <c r="D33"/>
  <c r="D32"/>
  <c r="D31"/>
  <c r="D30"/>
  <c r="D29"/>
  <c r="D28"/>
  <c r="D27"/>
  <c r="D26"/>
  <c r="D25"/>
  <c r="D24"/>
  <c r="D23"/>
  <c r="D22"/>
  <c r="D33" i="12"/>
  <c r="D32"/>
  <c r="D31"/>
  <c r="D30"/>
  <c r="D29"/>
  <c r="D28"/>
  <c r="D27"/>
  <c r="D26"/>
  <c r="D25"/>
  <c r="D24"/>
  <c r="D23"/>
  <c r="D89" i="11"/>
  <c r="D87"/>
  <c r="D86"/>
  <c r="D85"/>
  <c r="D84"/>
  <c r="D83"/>
  <c r="D82"/>
  <c r="D81"/>
  <c r="D80"/>
  <c r="D79"/>
  <c r="D78"/>
  <c r="D77"/>
  <c r="D76"/>
  <c r="D75"/>
  <c r="D74"/>
  <c r="D73"/>
  <c r="D72"/>
  <c r="D54"/>
  <c r="D53"/>
  <c r="D52"/>
  <c r="D51"/>
  <c r="D50"/>
  <c r="D49"/>
  <c r="D48"/>
  <c r="D47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33" i="10"/>
  <c r="D32"/>
  <c r="D31"/>
  <c r="D30"/>
  <c r="D29"/>
  <c r="D28"/>
  <c r="D27"/>
  <c r="D56" i="9"/>
  <c r="D54"/>
  <c r="D52"/>
  <c r="D51"/>
  <c r="D50"/>
  <c r="D49"/>
  <c r="D48"/>
  <c r="D47"/>
  <c r="D29"/>
  <c r="D27"/>
  <c r="D25"/>
  <c r="D23"/>
  <c r="D57" i="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7" i="6"/>
  <c r="D36"/>
  <c r="D35"/>
  <c r="D34"/>
  <c r="D33"/>
  <c r="D32"/>
  <c r="D31"/>
  <c r="D30"/>
  <c r="D29"/>
  <c r="D28"/>
  <c r="D27"/>
  <c r="D26"/>
  <c r="D78" i="3"/>
  <c r="D77"/>
  <c r="D76"/>
  <c r="D75"/>
  <c r="D74"/>
  <c r="D73"/>
  <c r="D72"/>
  <c r="D71"/>
  <c r="D70"/>
  <c r="D68"/>
  <c r="D67"/>
  <c r="D52"/>
  <c r="D51"/>
  <c r="D49"/>
  <c r="D48"/>
  <c r="D47"/>
  <c r="D46"/>
  <c r="D45"/>
  <c r="D44"/>
  <c r="D43"/>
  <c r="D42"/>
  <c r="D41"/>
  <c r="D40"/>
  <c r="D39"/>
  <c r="D38"/>
  <c r="D36"/>
  <c r="D35"/>
  <c r="D33"/>
  <c r="D32"/>
  <c r="D31"/>
  <c r="D55" i="2"/>
  <c r="D54"/>
  <c r="D53"/>
  <c r="D52"/>
  <c r="D51"/>
  <c r="D49"/>
  <c r="D48"/>
  <c r="D47"/>
  <c r="D46"/>
  <c r="D45"/>
  <c r="D44"/>
  <c r="D43"/>
  <c r="D42"/>
  <c r="D41"/>
  <c r="D40"/>
  <c r="D39"/>
  <c r="D38"/>
  <c r="D37"/>
  <c r="D36"/>
  <c r="D35"/>
  <c r="D34"/>
  <c r="D32"/>
  <c r="D31"/>
  <c r="D30"/>
  <c r="D29"/>
  <c r="D64" i="1"/>
  <c r="D63"/>
  <c r="D62"/>
  <c r="D61"/>
  <c r="D58"/>
  <c r="D57"/>
  <c r="D56"/>
  <c r="D54"/>
  <c r="D53"/>
  <c r="D52"/>
  <c r="D49"/>
  <c r="D48"/>
  <c r="D47"/>
  <c r="D46"/>
  <c r="D44"/>
  <c r="D43"/>
  <c r="D42"/>
  <c r="D40"/>
  <c r="D39"/>
  <c r="D38"/>
  <c r="D37"/>
  <c r="D36"/>
  <c r="D35"/>
  <c r="D34"/>
  <c r="D33"/>
  <c r="D32"/>
  <c r="D31"/>
  <c r="D30"/>
  <c r="D11" i="64"/>
  <c r="D32" i="5"/>
  <c r="H20" i="37"/>
  <c r="D73"/>
  <c r="H10"/>
  <c r="D63"/>
  <c r="D53"/>
  <c r="I5"/>
  <c r="I23"/>
  <c r="I19"/>
  <c r="F9" i="44"/>
  <c r="D26"/>
  <c r="E14" i="4"/>
  <c r="E4"/>
  <c r="D91"/>
  <c r="D10" i="50"/>
  <c r="D12" i="71"/>
  <c r="C122" s="1"/>
  <c r="D45" i="78"/>
  <c r="D29" i="43"/>
  <c r="K12" i="67"/>
  <c r="D97"/>
  <c r="D49"/>
  <c r="H30" i="37"/>
  <c r="D57" s="1"/>
  <c r="D55"/>
  <c r="D50" i="2"/>
  <c r="D33"/>
  <c r="E25" i="35"/>
  <c r="D37"/>
  <c r="D28" i="67"/>
  <c r="D82"/>
  <c r="D66"/>
  <c r="C125" i="71"/>
  <c r="E3" i="3"/>
  <c r="D30"/>
  <c r="E7"/>
  <c r="D64"/>
  <c r="D20" i="44"/>
  <c r="F22" i="2"/>
  <c r="D26"/>
  <c r="D38" i="35"/>
  <c r="D34" i="3"/>
  <c r="F30" i="18"/>
  <c r="D50"/>
  <c r="D48"/>
  <c r="D33" i="34"/>
  <c r="D26"/>
  <c r="D42" i="38"/>
  <c r="C30" i="43"/>
  <c r="C34"/>
  <c r="D28"/>
  <c r="F7" i="45"/>
  <c r="D14"/>
  <c r="D15"/>
  <c r="D11"/>
  <c r="C36" i="53"/>
  <c r="H28" i="67"/>
  <c r="D86"/>
  <c r="D70"/>
  <c r="D71" i="13"/>
  <c r="I18" i="16"/>
  <c r="D63"/>
  <c r="D30" i="18"/>
  <c r="D40"/>
  <c r="E29" i="38"/>
  <c r="D36"/>
  <c r="C34" i="46"/>
  <c r="C28"/>
  <c r="C24" i="52"/>
  <c r="D15"/>
  <c r="D51" i="67"/>
  <c r="D72"/>
  <c r="J28"/>
  <c r="D88"/>
  <c r="D68"/>
  <c r="F28"/>
  <c r="D84"/>
  <c r="D14" i="44"/>
  <c r="F55" i="19"/>
  <c r="D112"/>
  <c r="G22" i="2"/>
  <c r="D27"/>
  <c r="H22"/>
  <c r="D28"/>
  <c r="K24" i="67"/>
  <c r="E55" i="19"/>
  <c r="D111"/>
  <c r="C25" i="52"/>
  <c r="D16"/>
  <c r="C20"/>
  <c r="D48" i="38"/>
  <c r="D108" i="67"/>
  <c r="D81"/>
  <c r="E22" i="2"/>
  <c r="D25"/>
  <c r="D42" i="18"/>
  <c r="D56" i="2"/>
  <c r="H31" i="37"/>
  <c r="D21" i="71"/>
  <c r="C116"/>
  <c r="C108"/>
  <c r="D89" i="4"/>
  <c r="E75"/>
  <c r="D34" i="10"/>
  <c r="D65" i="13"/>
  <c r="D52" i="18"/>
  <c r="G30"/>
  <c r="D54"/>
  <c r="D62"/>
  <c r="I30"/>
  <c r="D91"/>
  <c r="I26" i="27"/>
  <c r="D48" s="1"/>
  <c r="D55"/>
  <c r="D43"/>
  <c r="D32" i="35"/>
  <c r="D94"/>
  <c r="D54"/>
  <c r="D24" i="36"/>
  <c r="D31"/>
  <c r="F24"/>
  <c r="D30" s="1"/>
  <c r="D33"/>
  <c r="D29" i="38"/>
  <c r="D35"/>
  <c r="I10" i="37"/>
  <c r="F29" i="38"/>
  <c r="D49" s="1"/>
  <c r="D37"/>
  <c r="D5" i="71"/>
  <c r="C112" s="1"/>
  <c r="C25" i="46"/>
  <c r="C29"/>
  <c r="F17"/>
  <c r="D14" i="47"/>
  <c r="D20"/>
  <c r="D19"/>
  <c r="F9"/>
  <c r="D25" i="63"/>
  <c r="D20"/>
  <c r="I28" i="67"/>
  <c r="D87"/>
  <c r="D71"/>
  <c r="K21"/>
  <c r="D67"/>
  <c r="E28"/>
  <c r="D54" i="68"/>
  <c r="D37"/>
  <c r="D45"/>
  <c r="D64"/>
  <c r="D66" i="3"/>
  <c r="D50"/>
  <c r="G27"/>
  <c r="D61" s="1"/>
  <c r="D57"/>
  <c r="D58"/>
  <c r="H27"/>
  <c r="D62" s="1"/>
  <c r="D27" i="1"/>
  <c r="E23"/>
  <c r="D23" i="14"/>
  <c r="D58" i="16"/>
  <c r="E30" i="18"/>
  <c r="D44"/>
  <c r="D77"/>
  <c r="H30"/>
  <c r="D59"/>
  <c r="D57"/>
  <c r="H20" i="22"/>
  <c r="D33"/>
  <c r="H18" i="23"/>
  <c r="D58"/>
  <c r="C13" i="53"/>
  <c r="D37" i="26"/>
  <c r="D44"/>
  <c r="E26" i="34"/>
  <c r="D31" s="1"/>
  <c r="D34"/>
  <c r="D35"/>
  <c r="F26"/>
  <c r="D32" s="1"/>
  <c r="D63" i="35"/>
  <c r="D104"/>
  <c r="D26"/>
  <c r="F25"/>
  <c r="D42"/>
  <c r="D74"/>
  <c r="E24" i="36"/>
  <c r="D29" s="1"/>
  <c r="D32"/>
  <c r="D49" i="37"/>
  <c r="D34"/>
  <c r="I20"/>
  <c r="D41" i="38"/>
  <c r="D35" i="41"/>
  <c r="D34"/>
  <c r="K14"/>
  <c r="D25"/>
  <c r="C23" i="48"/>
  <c r="D20"/>
  <c r="C20" i="54"/>
  <c r="C25"/>
  <c r="D90" i="67"/>
  <c r="D41"/>
  <c r="G28"/>
  <c r="D85"/>
  <c r="D69"/>
  <c r="D65"/>
  <c r="D102"/>
  <c r="D118" i="72"/>
  <c r="D98"/>
  <c r="D63" i="3"/>
  <c r="I30" i="37"/>
  <c r="D96" i="4"/>
  <c r="F10" i="44"/>
  <c r="H14" i="23"/>
  <c r="I14" i="37"/>
  <c r="D103" i="71"/>
  <c r="E10" i="3"/>
  <c r="E14" i="1"/>
  <c r="E18"/>
  <c r="D57" i="27"/>
  <c r="D15" i="53"/>
  <c r="D13" s="1"/>
  <c r="D64" i="23"/>
  <c r="C11" i="53"/>
  <c r="D33" i="37"/>
  <c r="D16" i="67"/>
  <c r="F26" i="3"/>
  <c r="D50" i="67"/>
  <c r="K16"/>
  <c r="D55" i="1"/>
  <c r="D45"/>
  <c r="F27" i="3"/>
  <c r="D60" s="1"/>
  <c r="D56"/>
  <c r="E26"/>
  <c r="D51" i="1"/>
  <c r="D41"/>
  <c r="D38" i="23"/>
  <c r="D48"/>
  <c r="D21" i="48"/>
  <c r="C28"/>
  <c r="C27"/>
  <c r="D43" i="35"/>
  <c r="D83"/>
  <c r="C43" i="53"/>
  <c r="D46" i="18"/>
  <c r="D79"/>
  <c r="D59" i="1"/>
  <c r="D50"/>
  <c r="D26"/>
  <c r="K28" i="67"/>
  <c r="D83"/>
  <c r="D73"/>
  <c r="D105"/>
  <c r="D20" i="71"/>
  <c r="C111" s="1"/>
  <c r="D47" i="38"/>
  <c r="D58" i="27"/>
  <c r="D37" i="3"/>
  <c r="D65"/>
  <c r="D59" i="23"/>
  <c r="D42"/>
  <c r="H25"/>
  <c r="D54" s="1"/>
  <c r="D37" i="22"/>
  <c r="D58"/>
  <c r="F18" i="46"/>
  <c r="C39"/>
  <c r="C40"/>
  <c r="C22"/>
  <c r="D49" i="27"/>
  <c r="D64" i="18"/>
  <c r="D80"/>
  <c r="D5" i="30"/>
  <c r="D85" i="4"/>
  <c r="E77"/>
  <c r="D63" i="23"/>
  <c r="E15" i="53"/>
  <c r="C30" s="1"/>
  <c r="E79" i="4"/>
  <c r="D86"/>
  <c r="D60" i="23"/>
  <c r="D53" i="3"/>
  <c r="D55"/>
  <c r="D79"/>
  <c r="E27"/>
  <c r="D54" s="1"/>
  <c r="D41" i="71"/>
  <c r="C113" s="1"/>
  <c r="D112" i="67"/>
  <c r="D89"/>
  <c r="D57"/>
  <c r="D101"/>
  <c r="D6" i="79"/>
  <c r="D35" s="1"/>
  <c r="D87" i="4"/>
  <c r="E81"/>
  <c r="D88"/>
  <c r="C118" i="71"/>
  <c r="D59" i="3" l="1"/>
  <c r="E11" i="53"/>
  <c r="C27" s="1"/>
  <c r="D27" i="5"/>
  <c r="D18" i="33"/>
  <c r="D24" i="9"/>
  <c r="D33"/>
  <c r="D46"/>
  <c r="D27" i="33"/>
  <c r="D37"/>
  <c r="D31"/>
  <c r="D33"/>
  <c r="D46"/>
  <c r="D51"/>
  <c r="D34"/>
  <c r="D20" i="9"/>
  <c r="C10" i="53"/>
  <c r="D53" i="9"/>
  <c r="D55"/>
  <c r="D57"/>
  <c r="D30"/>
  <c r="D39" i="33"/>
  <c r="D47"/>
  <c r="D52"/>
  <c r="C37" i="53"/>
  <c r="C18"/>
  <c r="C40" s="1"/>
  <c r="D36" i="33"/>
  <c r="E27"/>
  <c r="D59"/>
  <c r="D60"/>
  <c r="D58" i="9"/>
  <c r="D45"/>
  <c r="D28"/>
  <c r="F20"/>
  <c r="D58" i="7"/>
  <c r="D28" i="36"/>
  <c r="D30" i="34"/>
  <c r="D19" i="17"/>
  <c r="D20"/>
  <c r="D21"/>
  <c r="D59" i="16"/>
  <c r="D47"/>
  <c r="D60" i="13"/>
  <c r="D74"/>
  <c r="D68"/>
  <c r="D26" i="14"/>
  <c r="D20"/>
  <c r="D93" i="11"/>
  <c r="D34" i="12"/>
  <c r="D88" i="11"/>
  <c r="D91"/>
  <c r="D9" i="5"/>
  <c r="D28" s="1"/>
  <c r="D29"/>
  <c r="D42"/>
  <c r="D43" i="71"/>
  <c r="C54" i="79"/>
  <c r="C52"/>
  <c r="E13" i="53"/>
  <c r="D10"/>
  <c r="C44"/>
  <c r="C53" i="79"/>
  <c r="D22" i="5" l="1"/>
  <c r="D48" s="1"/>
  <c r="D50"/>
  <c r="D36"/>
  <c r="C107" i="71"/>
  <c r="D74"/>
  <c r="C38" i="53"/>
  <c r="D18"/>
  <c r="E10"/>
  <c r="C29"/>
  <c r="C45"/>
  <c r="D30" i="5" l="1"/>
  <c r="E22"/>
  <c r="D75" i="71"/>
  <c r="C117" s="1"/>
  <c r="C115"/>
  <c r="C26" i="53"/>
  <c r="C39"/>
  <c r="E18"/>
  <c r="C41"/>
  <c r="C33" l="1"/>
  <c r="C42"/>
  <c r="C46"/>
</calcChain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sz val="8"/>
            <color indexed="81"/>
            <rFont val="Tahoma"/>
            <family val="2"/>
          </rPr>
          <t>19.0.D/7110/000</t>
        </r>
      </text>
    </comment>
    <comment ref="C6" authorId="0">
      <text>
        <r>
          <rPr>
            <sz val="8"/>
            <color indexed="81"/>
            <rFont val="Tahoma"/>
            <family val="2"/>
          </rPr>
          <t>19.0.D/7120/000</t>
        </r>
      </text>
    </comment>
    <comment ref="C7" authorId="0">
      <text>
        <r>
          <rPr>
            <sz val="8"/>
            <color indexed="81"/>
            <rFont val="Tahoma"/>
            <family val="2"/>
          </rPr>
          <t>19.0.D/7130/000</t>
        </r>
      </text>
    </comment>
    <comment ref="C11" authorId="0">
      <text>
        <r>
          <rPr>
            <sz val="8"/>
            <color indexed="81"/>
            <rFont val="Tahoma"/>
            <family val="2"/>
          </rPr>
          <t>19.0.D/7210/000</t>
        </r>
      </text>
    </comment>
    <comment ref="D11" authorId="0">
      <text>
        <r>
          <rPr>
            <sz val="8"/>
            <color indexed="81"/>
            <rFont val="Tahoma"/>
            <family val="2"/>
          </rPr>
          <t>19.0.D/7210/000</t>
        </r>
      </text>
    </comment>
    <comment ref="C12" authorId="0">
      <text>
        <r>
          <rPr>
            <sz val="8"/>
            <color indexed="81"/>
            <rFont val="Tahoma"/>
            <family val="2"/>
          </rPr>
          <t>19.0.D/7220/000</t>
        </r>
      </text>
    </comment>
    <comment ref="D12" authorId="0">
      <text>
        <r>
          <rPr>
            <sz val="8"/>
            <color indexed="81"/>
            <rFont val="Tahoma"/>
            <family val="2"/>
          </rPr>
          <t>19.0.D/7220/000</t>
        </r>
      </text>
    </comment>
    <comment ref="C13" authorId="0">
      <text>
        <r>
          <rPr>
            <sz val="8"/>
            <color indexed="81"/>
            <rFont val="Tahoma"/>
            <family val="2"/>
          </rPr>
          <t>19.0.D/7230/000</t>
        </r>
      </text>
    </comment>
    <comment ref="D13" authorId="0">
      <text>
        <r>
          <rPr>
            <sz val="8"/>
            <color indexed="81"/>
            <rFont val="Tahoma"/>
            <family val="2"/>
          </rPr>
          <t>19.0.D/7230/000</t>
        </r>
      </text>
    </comment>
    <comment ref="C14" authorId="0">
      <text>
        <r>
          <rPr>
            <sz val="8"/>
            <color indexed="81"/>
            <rFont val="Tahoma"/>
            <family val="2"/>
          </rPr>
          <t>19.0.D/7240/000</t>
        </r>
      </text>
    </comment>
    <comment ref="D14" authorId="0">
      <text>
        <r>
          <rPr>
            <sz val="8"/>
            <color indexed="81"/>
            <rFont val="Tahoma"/>
            <family val="2"/>
          </rPr>
          <t>19.0.D/7240/000</t>
        </r>
      </text>
    </comment>
    <comment ref="C15" authorId="0">
      <text>
        <r>
          <rPr>
            <sz val="8"/>
            <color indexed="81"/>
            <rFont val="Tahoma"/>
            <family val="2"/>
          </rPr>
          <t>19.0.D/7250/000</t>
        </r>
      </text>
    </comment>
    <comment ref="D15" authorId="0">
      <text>
        <r>
          <rPr>
            <sz val="8"/>
            <color indexed="81"/>
            <rFont val="Tahoma"/>
            <family val="2"/>
          </rPr>
          <t>19.0.D/7250/000</t>
        </r>
      </text>
    </comment>
    <comment ref="C16" authorId="0">
      <text>
        <r>
          <rPr>
            <sz val="8"/>
            <color indexed="81"/>
            <rFont val="Tahoma"/>
            <family val="2"/>
          </rPr>
          <t>19.0.D/7260/000</t>
        </r>
      </text>
    </comment>
    <comment ref="D16" authorId="0">
      <text>
        <r>
          <rPr>
            <sz val="8"/>
            <color indexed="81"/>
            <rFont val="Tahoma"/>
            <family val="2"/>
          </rPr>
          <t>19.0.D/7260/000</t>
        </r>
      </text>
    </comment>
    <comment ref="C17" authorId="0">
      <text>
        <r>
          <rPr>
            <sz val="8"/>
            <color indexed="81"/>
            <rFont val="Tahoma"/>
            <family val="2"/>
          </rPr>
          <t>19.0.D/7299/000</t>
        </r>
      </text>
    </comment>
    <comment ref="D17" authorId="0">
      <text>
        <r>
          <rPr>
            <sz val="8"/>
            <color indexed="81"/>
            <rFont val="Tahoma"/>
            <family val="2"/>
          </rPr>
          <t>19.0.D/7299/000</t>
        </r>
      </text>
    </comment>
    <comment ref="C18" authorId="0">
      <text>
        <r>
          <rPr>
            <sz val="8"/>
            <color indexed="81"/>
            <rFont val="Tahoma"/>
            <family val="2"/>
          </rPr>
          <t>19.0.D/7300/000</t>
        </r>
      </text>
    </comment>
    <comment ref="D18" authorId="0">
      <text>
        <r>
          <rPr>
            <sz val="8"/>
            <color indexed="81"/>
            <rFont val="Tahoma"/>
            <family val="2"/>
          </rPr>
          <t>19.0.D/7300/000</t>
        </r>
      </text>
    </comment>
    <comment ref="C19" authorId="0">
      <text>
        <r>
          <rPr>
            <sz val="8"/>
            <color indexed="81"/>
            <rFont val="Tahoma"/>
            <family val="2"/>
          </rPr>
          <t>19.0.D/7310/000</t>
        </r>
      </text>
    </comment>
    <comment ref="D19" authorId="0">
      <text>
        <r>
          <rPr>
            <sz val="8"/>
            <color indexed="81"/>
            <rFont val="Tahoma"/>
            <family val="2"/>
          </rPr>
          <t>19.0.D/7310/000</t>
        </r>
      </text>
    </comment>
    <comment ref="C20" authorId="0">
      <text>
        <r>
          <rPr>
            <sz val="8"/>
            <color indexed="81"/>
            <rFont val="Tahoma"/>
            <family val="2"/>
          </rPr>
          <t>19.0.D/7320/000</t>
        </r>
      </text>
    </comment>
    <comment ref="D20" authorId="0">
      <text>
        <r>
          <rPr>
            <sz val="8"/>
            <color indexed="81"/>
            <rFont val="Tahoma"/>
            <family val="2"/>
          </rPr>
          <t>19.0.D/7320/000</t>
        </r>
      </text>
    </comment>
    <comment ref="C21" authorId="0">
      <text>
        <r>
          <rPr>
            <sz val="8"/>
            <color indexed="81"/>
            <rFont val="Tahoma"/>
            <family val="2"/>
          </rPr>
          <t>19.0.D/7330/000</t>
        </r>
      </text>
    </comment>
    <comment ref="D21" authorId="0">
      <text>
        <r>
          <rPr>
            <sz val="8"/>
            <color indexed="81"/>
            <rFont val="Tahoma"/>
            <family val="2"/>
          </rPr>
          <t>19.0.D/7330/000</t>
        </r>
      </text>
    </comment>
    <comment ref="C22" authorId="0">
      <text>
        <r>
          <rPr>
            <sz val="8"/>
            <color indexed="81"/>
            <rFont val="Tahoma"/>
            <family val="2"/>
          </rPr>
          <t>19.0.D/7340/000</t>
        </r>
      </text>
    </comment>
    <comment ref="D22" authorId="0">
      <text>
        <r>
          <rPr>
            <sz val="8"/>
            <color indexed="81"/>
            <rFont val="Tahoma"/>
            <family val="2"/>
          </rPr>
          <t>19.0.D/7340/000</t>
        </r>
      </text>
    </comment>
    <comment ref="C23" authorId="0">
      <text>
        <r>
          <rPr>
            <sz val="8"/>
            <color indexed="81"/>
            <rFont val="Tahoma"/>
            <family val="2"/>
          </rPr>
          <t>19.0.D/7350/000</t>
        </r>
      </text>
    </comment>
    <comment ref="D23" authorId="0">
      <text>
        <r>
          <rPr>
            <sz val="8"/>
            <color indexed="81"/>
            <rFont val="Tahoma"/>
            <family val="2"/>
          </rPr>
          <t>19.0.D/7350/000</t>
        </r>
      </text>
    </comment>
    <comment ref="C24" authorId="0">
      <text>
        <r>
          <rPr>
            <sz val="8"/>
            <color indexed="81"/>
            <rFont val="Tahoma"/>
            <family val="2"/>
          </rPr>
          <t>19.0.D/7299/000</t>
        </r>
      </text>
    </comment>
    <comment ref="D24" authorId="0">
      <text>
        <r>
          <rPr>
            <sz val="8"/>
            <color indexed="81"/>
            <rFont val="Tahoma"/>
            <family val="2"/>
          </rPr>
          <t>19.0.D/7299/000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T19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ShouLd be added and not subtracted, since the balance attribute of the IFRS-GP taxonomy has changed between 2005 and 2006</t>
        </r>
      </text>
    </comment>
  </commentList>
</comments>
</file>

<file path=xl/sharedStrings.xml><?xml version="1.0" encoding="utf-8"?>
<sst xmlns="http://schemas.openxmlformats.org/spreadsheetml/2006/main" count="4736" uniqueCount="2972">
  <si>
    <t>If 10.0/7399/040 &gt; 0 then Sum row 10.0/7399/005 through 10.0/7399/035 &gt; 0</t>
  </si>
  <si>
    <t>15.B/7190/005 = 37.A/7190/005</t>
  </si>
  <si>
    <t>15.A/7180/025 + 15.B/7190/030- 15.B/7190/005 = 37.A/7200/005</t>
  </si>
  <si>
    <t>15.A/7190/025 + 15.B/7200/030 = 37.A/7200/010</t>
  </si>
  <si>
    <t>8.A/7100/025 = Sum row 8.B/7100/030 through 8.B/7100/040</t>
  </si>
  <si>
    <t>13.A/7180/025 + 13.B/7350/025 = 37.A/7160/005</t>
  </si>
  <si>
    <t>13.A/7190/025 + 13.B/7360/025 = 37.A/7160/010</t>
  </si>
  <si>
    <t>1.2/7170/005 = 1.2/7170/010 + 1.2/7170/015 + 1.2/7170/020</t>
  </si>
  <si>
    <t>1.3/7899/005 = 44.a/7699/100</t>
  </si>
  <si>
    <t xml:space="preserve">43.0/7500/005 = - 43.0/7410/005 + 43.0/7420/005 - 43.0/7430/005 - 43.0/7440/005 + 43.0/7450/005 - 43.0/7460/005 + 43.0/7470/005 + 43.0/7480/005 - 43.0/7490/005 </t>
  </si>
  <si>
    <t>43.0/7182/005 = - 43.0/7185/005 + 43.0/7230/005</t>
  </si>
  <si>
    <t>43.0/7660/005 = 44.a/7330/100</t>
  </si>
  <si>
    <t>43.0/7165/005 = 44.a/7699/050 - 44.a/7199/050</t>
  </si>
  <si>
    <t>43.0/7170/005 = 44.A./7699/055 - 44.a/7199/055</t>
  </si>
  <si>
    <t>44.a/7100/100 = sum row 44.a/7100/005 through 44.a/7100/070 - 44.a/7100/075 + 44.a/7100/080 - 44.a/7100/082 + 44.a/7100/085 + 44.a/7100/090</t>
  </si>
  <si>
    <t>44.a/7110/100 = sum row 44.a/7110/005 through 44.a/7110/070 - 44.a/7110/075 + 44.a/7110/080 - 44.a/7110/082 + 44.a/7110/085 + 44.a/7110/090</t>
  </si>
  <si>
    <t>44.a/7199/100 = sum row 44.a/7199/005 through 44.a/7199/070 - 44.a/7199/075 + 44.a/7199/080 - 44.a/7199/082 + 44.a/7199/085 + 44.a/7199/090</t>
  </si>
  <si>
    <t>44.a/7200/100 = sum row 44.a/7200/005 through 44.a/7200/070 - 44.a/7200/075 + 44.a/7200/080 - 44.a/7200/082 + 44.a/7200/085 + 44.a/7200/090</t>
  </si>
  <si>
    <t>44.a/7210/100 = sum row 44.a/7210/005 through 44.a/7210/070 - 44.a/7210/075 + 44.a/7210/080 - 44.a/7210/082 + 44.a/7210/085 + 44.a/7210/090</t>
  </si>
  <si>
    <t>44.a/7220/100 = sum row 44.a/7220/005 through 44.a/7220/070 - 44.a/7220/075 + 44.a/7220/080 - 44.a/7220/082 + 44.a/7220/085 + 44.a/7220/090</t>
  </si>
  <si>
    <t>44.a/7230/100 = sum row 44.a/7230/005 through 44.a/7230/070 - 44.a/7230/075 + 44.a/7230/080 - 44.a/7230/082 + 44.a/7230/085 + 44.a/7230/090</t>
  </si>
  <si>
    <t>44.a/7240/100 = sum row 44.a/7240/005 through 44.a/7240/070 - 44.a/7240/075 + 44.a/7240/080 - 44.a/7240/082 + 44.a/7240/085 + 44.a/7240/090</t>
  </si>
  <si>
    <t>44.a/7250/100 = sum row 44.a/7250/005 through 44.a/7250/070 - 44.a/7250/075 + 44.a/7250/080 - 44.a/7250/082 + 44.a/7250/085 + 44.a/7250/090</t>
  </si>
  <si>
    <t>44.a/7260/100 = sum row 44.a/7260/005 through 44.a/7260/070 - 44.a/7260/075 + 44.a/7260/080 - 44.a/7260/082 + 44.a/7260/085 + 44.a/7260/090</t>
  </si>
  <si>
    <t>44.a/7270/100 = sum row 44.a/7270/005 through 44.a/7270/070 - 44.a/7270/075 + 44.a/7270/080 - 44.a/7270/082 + 44.a/7270/085 + 44.a/7270/090</t>
  </si>
  <si>
    <t>44.a/7280/100 = sum row 44.a/7280/005 through 44.a/7280/070 - 44.a/7280/075 + 44.a/7280/080 - 44.a/7280/082 + 44.a/7280/085 + 44.a/7280/090</t>
  </si>
  <si>
    <t>44.a/7290/100 = sum row 44.a/7290/005 through 44.a/7290/070 - 44.a/7290/075 + 44.a/7290/080 - 44.a/7290/082 + 44.a/7290/085 + 44.a/7290/090</t>
  </si>
  <si>
    <t>44.a/7300/100 = - (sum row 44.a/7300/005 through 44.a/7300/070 - 44.a/7300/075 + 44.a/7300/080 - 44.a/7300/082 + 44.a/7300/085 + 44.a/7300/090)</t>
  </si>
  <si>
    <t>44.a/7310/100 = sum row 44.a/7310/005 through 44.a/7310/070 - 44.a/7310/075 + 44.a/7310/080 - 44.a/7310/082 + 44.a/7310/085 + 44.a/7310/090</t>
  </si>
  <si>
    <t>44.a/7320/100 = sum row 44.a/7320/005 through 44.a/7320/070 - 44.a/7320/075 + 44.a/7320/080 - 44.a/7320/082 + 44.a/7320/085 + 44.a/7320/090</t>
  </si>
  <si>
    <t>44.a/7330/100 = sum row 44.a/7330/005 through 44.a/7330/070 - 44.a/7330/075 + 44.a/7330/080 - 44.a/7330/082 + 44.a/7330/085 + 44.a/7330/090</t>
  </si>
  <si>
    <t>44.a/7350/100 = sum row 44.a/7350/005 through 44.a/7350/070 - 44.a/7350/075 + 44.a/7350/080 - 44.a/7350/082 + 44.a/7350/085 + 44.a/7350/090</t>
  </si>
  <si>
    <t>44.a/7360/100 = sum row 44.a/7360/005 through 44.a/7360/070 - 44.a/7360/075 + 44.a/7360/080 - 44.a/7360/082 + 44.a/7360/085 + 44.a/7360/090</t>
  </si>
  <si>
    <t>44.a/7370/100 = sum row 44.a/7370/005 through 44.a/7370/070 - 44.a/7370/075 + 44.a/7370/080 - 44.a/7370/082 + 44.a/7370/085 + 44.a/7370/090</t>
  </si>
  <si>
    <t>44.a/7380/100 = sum row 44.a/7380/005 through 44.a/7380/070 - 44.a/7380/075 + 44.a/7380/080 - 44.a/7380/082 + 44.a/7380/085 + 44.a/7380/090</t>
  </si>
  <si>
    <t>44.a/7390/100 = sum row 44.a/7390/005 through 44.a/7390/070 - 44.a/7390/075 + 44.a/7390/080 - 44.a/7390/082 + 44.a/7390/085 + 44.a/7390/090</t>
  </si>
  <si>
    <t>44.a/7400/100 = sum row 44.a/7400/005 through 44.a/7400/070 - 44.a/7400/075 + 44.a/7400/080 - 44.a/7400/082 + 44.a/7400/085 + 44.a/7400/090</t>
  </si>
  <si>
    <t>44.a/7410/100 = sum row 44.a/7410/005 through 44.a/7410/070 - 44.a/7410/075 + 44.a/7410/080 - 44.a/7410/082 + 44.a/7410/085 + 44.a/7410/090</t>
  </si>
  <si>
    <t>44.a/7420/100 = sum row 44.a/7420/005 through 44.a/7420/070 - 44.a/7420/075 + 44.a/7420/080 - 44.a/7420/082 + 44.a/7420/085 + 44.a/7420/090</t>
  </si>
  <si>
    <t>44.a/7430/100 = sum row 44.a/7430/005 through 44.a/7430/070 - 44.a/7430/075 + 44.a/7430/080 - 44.a/7430/082 + 44.a/7430/085 + 44.a/7430/090</t>
  </si>
  <si>
    <t>44.a/7440/100 = sum row 44.a/7440/005 through 44.a/7440/070 - 44.a/7440/075 + 44.a/7440/080 - 44.a/7440/082 + 44.a/7440/085 + 44.a/7440/090</t>
  </si>
  <si>
    <t>44.a/7450/100 = sum row 44.a/7450/005 through 44.a/7450/070 - 44.a/7450/075 + 44.a/7450/080 - 44.a/7450/082 + 44.a/7450/085 + 44.a/7450/090</t>
  </si>
  <si>
    <t>44.a/7470/100 = sum row 44.a/7470/005 through 44.a/7470/070 - 44.a/7470/075 + 44.a/7470/080 - 44.a/7470/082 + 44.a/7470/085 + 44.a/7470/090</t>
  </si>
  <si>
    <t>44.a/7480/100 = sum row 44.a/7480/005 through 44.a/7480/070 - 44.a/7480/075 + 44.a/7480/080 - 44.a/7480/082 + 44.a/7480/085 + 44.a/7480/090</t>
  </si>
  <si>
    <t>44.a/7490/100 = sum row 44.a/7490/005 through 44.a/7490/070 - 44.a/7490/075 + 44.a/7490/080 - 44.a/7490/082 + 44.a/7490/085 + 44.a/7490/090</t>
  </si>
  <si>
    <t>44.a/7500/100 = sum row 44.a/7500/005 through 44.a/7500/070 - 44.a/7500/075 + 44.a/7500/080 - 44.a/7500/082 + 44.a/7500/085 + 44.a/7500/090</t>
  </si>
  <si>
    <t>44.a/7510/100 = sum row 44.a/7510/005 through 44.a/7510/070 - 44.a/7510/075 + 44.a/7510/080 - 44.a/7510/082 + 44.a/7510/085 + 44.a/7510/090</t>
  </si>
  <si>
    <t>44.a/7520/100 = sum row 44.a/7520/005 through 44.a/7520/070 - 44.a/7520/075 + 44.a/7520/080 - 44.a/7520/082 + 44.a/7520/085 + 44.a/7520/090</t>
  </si>
  <si>
    <t>44.a/7530/100 = sum row 44.a/7530/005 through 44.a/7530/070 - 44.a/7530/075 + 44.a/7530/080 - 44.a/7530/082 + 44.a/7530/085 + 44.a/7530/090</t>
  </si>
  <si>
    <t>44.a/7540/100 = sum row 44.a/7540/005 through 44.a/7540/070 - 44.a/7540/075 + 44.a/7540/080 - 44.a/7540/082 + 44.a/7540/085 + 44.a/7540/090</t>
  </si>
  <si>
    <t>44.a/7550/100 = sum row 44.a/7550/005 through 44.a/7550/070 - 44.a/7550/075 + 44.a/7550/080 - 44.a/7550/082 + 44.a/7550/085 + 44.a/7550/090</t>
  </si>
  <si>
    <t>44.a/7560/100 = sum row 44.a/7560/005 through 44.a/7560/070 - 44.a/7560/075 + 44.a/7560/080 - 44.a/7560/082 + 44.a/7560/085 + 44.a/7560/090</t>
  </si>
  <si>
    <t>44.a/7570/100 = sum row 44.a/7570/005 through 44.a/7570/070 - 44.a/7570/075 + 44.a/7570/080 - 44.a/7570/082 + 44.a/7570/085 + 44.a/7570/090</t>
  </si>
  <si>
    <t>44.a/7580/100 = sum row 44.a/7580/005 through 44.a/7580/070 - 44.a/7580/075 + 44.a/7580/080 - 44.a/7580/082 + 44.a/7580/085 + 44.a/7580/090</t>
  </si>
  <si>
    <t>44.a/7590/100 = sum row 44.a/7590/005 through 44.a/7590/070 - 44.a/7590/075 + 44.a/7590/080 - 44.a/7590/082 + 44.a/7590/085 + 44.a/7590/090</t>
  </si>
  <si>
    <t>44.a/7600/100 = sum row 44.a/7600/005 through 44.a/7600/070 - 44.a/7600/075 + 44.a/7600/080 - 44.a/7600/082 + 44.a/7600/085 + 44.a/7600/090</t>
  </si>
  <si>
    <t>44.a/7610/100 = sum row 44.a/7610/005 through 44.a/7610/070 - 44.a/7610/075 + 44.a/7610/080 - 44.a/7610/082 + 44.a/7610/085 + 44.a/7610/090</t>
  </si>
  <si>
    <t>44.a/7699/100 = sum row 44.a/7699/005 through 44.a/7699/070 - 44.a/7699/075 + 44.a/7699/080 - 44.a/7699/082 + 44.a/7699/085 + 44.a/7699/090</t>
  </si>
  <si>
    <t>44.a/7699/005 = 44.a/7199/005 + Sum column 44.a/7200/005 through 44.a/7240/005 - Sum column 44.a/7250/005 through 44.a/7260/005 + 44.a/7270/005 - 44.a/7280/005  + 44.a/7290/005 + 44.a/7300/005 + Sum column 44.a/7310/005 through 44.a/7330/005 - Sum column 44.a/7350/005 through 44.a/7400/005+ 44.a/7410/005 - 44.a/7420/005 + Sum column 44.a/7430/005 through 44.a/7450/005 - 44.a/7470/005 + Sum column 44.a/7480/005 through 44.a/7610/005</t>
  </si>
  <si>
    <t>44.a/7699/010 = 44.a/7199/010 + Sum column 44.a/7200/010 through 44.a/7240/010 - Sum column 44.a/7250/010 through 44.a/7260/010 + 44.a/7270/010 - 44.a/7280/010  + 44.a/7290/010 + 44.a/7300/010 + Sum column 44.a/7310/010 through 44.a/7330/010 - Sum column 44.a/7350/010 through 44.a/7400/010+ 44.a/7410/010 - 44.a/7420/010 + Sum column 44.a/7430/010 through 44.a/7450/010 - 44.a/7470/010 + Sum column 44.a/7480/010 through 44.a/7610/010</t>
  </si>
  <si>
    <t>44.a/7699/015 = 44.a/7199/015 + Sum column 44.a/7200/015 through 44.a/7240/015 - Sum column 44.a/7250/015 through 44.a/7260/015 + 44.a/7270/015 - 44.a/7280/015  + 44.a/7290/015 + 44.a/7300/015 + Sum column 44.a/7310/015 through 44.a/7330/015 - Sum column 44.a/7350/015 through 44.a/7400/015+ 44.a/7410/015 - 44.a/7420/015 + Sum column 44.a/7430/015 through 44.a/7450/015 - 44.a/7470/015 + Sum column 44.a/7480/015 through 44.a/7610/015</t>
  </si>
  <si>
    <t>44.a/7699/020 = 44.a/7199/020 + Sum column 44.a/7200/020 through 44.a/7240/020 - Sum column 44.a/7250/020 through 44.a/7260/020 + 44.a/7270/020 - 44.a/7280/020  + 44.a/7290/020 + 44.a/7300/020 + Sum column 44.a/7310/020 through 44.a/7330/020 - Sum column 44.a/7350/020 through 44.a/7400/020+ 44.a/7410/020 - 44.a/7420/020 + Sum column 44.a/7430/020 through 44.a/7450/020 - 44.a/7470/020 + Sum column 44.a/7480/020 through 44.a/7610/020</t>
  </si>
  <si>
    <t>44.a/7699/025 = 44.a/7199/025 + Sum column 44.a/7200/025 through 44.a/7240/025 - Sum column 44.a/7250/025 through 44.a/7260/025 + 44.a/7270/025 - 44.a/7280/025  + 44.a/7290/025 + 44.a/7300/025 + Sum column 44.a/7310/025 through 44.a/7330/025 - Sum column 44.a/7350/025 through 44.a/7400/025+ 44.a/7410/025 - 44.a/7420/025 + Sum column 44.a/7430/025 through 44.a/7450/025 - 44.a/7470/025 + Sum column 44.a/7480/025 through 44.a/7610/025</t>
  </si>
  <si>
    <t>44.a/7699/030 = 44.a/7199/030 + Sum column 44.a/7200/030 through 44.a/7240/030 - Sum column 44.a/7250/030 through 44.a/7260/030 + 44.a/7270/030 - 44.a/7280/030  + 44.a/7290/030 + 44.a/7300/030 + Sum column 44.a/7310/030 through 44.a/7330/030 - Sum column 44.a/7350/030 through 44.a/7400/030+ 44.a/7410/030 - 44.a/7420/030 + Sum column 44.a/7430/030 through 44.a/7450/030 - 44.a/7470/030 + Sum column 44.a/7480/030 through 44.a/7610/030</t>
  </si>
  <si>
    <t>44.a/7699/035 = 44.a/7199/035 + Sum column 44.a/7200/035 through 44.a/7240/035 - Sum column 44.a/7250/035 through 44.a/7260/035 + 44.a/7270/035 - 44.a/7280/035  + 44.a/7290/035 + 44.a/7300/035 + Sum column 44.a/7310/035 through 44.a/7330/035 - Sum column 44.a/7350/035 through 44.a/7400/035+ 44.a/7410/035 - 44.a/7420/035 + Sum column 44.a/7430/035 through 44.a/7450/035 - 44.a/7470/035 + Sum column 44.a/7480/035 through 44.a/7610/035</t>
  </si>
  <si>
    <t>44.a/7699/040 = 44.a/7199/040 + Sum column 44.a/7200/040 through 44.a/7240/040 - Sum column 44.a/7250/040 through 44.a/7260/040 + 44.a/7270/040 - 44.a/7280/040  + 44.a/7290/040 + 44.a/7300/040 + Sum column 44.a/7310/040 through 44.a/7330/040 - Sum column 44.a/7350/040 through 44.a/7400/040+ 44.a/7410/040 - 44.a/7420/040 + Sum column 44.a/7430/040 through 44.a/7450/040 - 44.a/7470/040 + Sum column 44.a/7480/040 through 44.a/7610/040</t>
  </si>
  <si>
    <t>44.a/7699/045 = 44.a/7199/045 + Sum column 44.a/7200/045 through 44.a/7240/045 - Sum column 44.a/7250/045 through 44.a/7260/045 + 44.a/7270/045 - 44.a/7280/045  + 44.a/7290/045 + 44.a/7300/045 + Sum column 44.a/7310/045 through 44.a/7330/045 - Sum column 44.a/7350/045 through 44.a/7400/045+ 44.a/7410/045 - 44.a/7420/045 + Sum column 44.a/7430/045 through 44.a/7450/045 - 44.a/7470/045 + Sum column 44.a/7480/045 through 44.a/7610/045</t>
  </si>
  <si>
    <t>44.a/7699/050 = 44.a/7199/050 + Sum column 44.a/7200/050 through 44.a/7240/050 - Sum column 44.a/7250/050 through 44.a/7260/050 + 44.a/7270/050 - 44.a/7280/050  + 44.a/7290/050 + 44.a/7300/050 + Sum column 44.a/7310/050 through 44.a/7330/050 - Sum column 44.a/7350/050 through 44.a/7400/050+ 44.a/7410/050 - 44.a/7420/050 + Sum column 44.a/7430/050 through 44.a/7450/050 - 44.a/7470/050 + Sum column 44.a/7480/050 through 44.a/7610/050</t>
  </si>
  <si>
    <t>44.a/7699/055 = 44.a/7199/055 + Sum column 44.a/7200/055 through 44.a/7240/055 - Sum column 44.a/7250/055 through 44.a/7260/055 + 44.a/7270/055 - 44.a/7280/055  + 44.a/7290/055 + 44.a/7300/055 + Sum column 44.a/7310/055 through 44.a/7330/055 - Sum column 44.a/7350/055 through 44.a/7400/055+ 44.a/7410/055 - 44.a/7420/055 + Sum column 44.a/7430/055 through 44.a/7450/055 - 44.a/7470/055 + Sum column 44.a/7480/055 through 44.a/7610/055</t>
  </si>
  <si>
    <t>44.a/7699/060 = 44.a/7199/060 + Sum column 44.a/7200/060 through 44.a/7240/060 - Sum column 44.a/7250/060 through 44.a/7260/060 + 44.a/7270/060 - 44.a/7280/060  + 44.a/7290/060 + 44.a/7300/060 + Sum column 44.a/7310/060 through 44.a/7330/060 - Sum column 44.a/7350/060 through 44.a/7400/060+ 44.a/7410/060 - 44.a/7420/060 + Sum column 44.a/7430/060 through 44.a/7450/060 - 44.a/7470/060 + Sum column 44.a/7480/060 through 44.a/7610/060</t>
  </si>
  <si>
    <t>44.a/7699/065 = 44.a/7199/065 + Sum column 44.a/7200/065 through 44.a/7240/065 - Sum column 44.a/7250/065 through 44.a/7260/065 + 44.a/7270/065 - 44.a/7280/065  + 44.a/7290/065 + 44.a/7300/065 + Sum column 44.a/7310/065 through 44.a/7330/065 - Sum column 44.a/7350/065 through 44.a/7400/065+ 44.a/7410/065 - 44.a/7420/065 + Sum column 44.a/7430/065 through 44.a/7450/065 - 44.a/7470/065 + Sum column 44.a/7480/065 through 44.a/7610/065</t>
  </si>
  <si>
    <t>44.a/7699/070 = 44.a/7199/070 + Sum column 44.a/7200/070 through 44.a/7240/070 - Sum column 44.a/7250/070 through 44.a/7260/070 + 44.a/7270/070 - 44.a/7280/070  + 44.a/7290/070 + 44.a/7300/070 + Sum column 44.a/7310/070 through 44.a/7330/070 - Sum column 44.a/7350/070 through 44.a/7400/070+ 44.a/7410/070 - 44.a/7420/070 + Sum column 44.a/7430/070 through 44.a/7450/070 - 44.a/7470/070 + Sum column 44.a/7480/070 through 44.a/7610/070</t>
  </si>
  <si>
    <t>44.a/7699/075 = 44.a/7199/075 + Sum column 44.a/7200/075 through 44.a/7240/075 - Sum column 44.a/7250/075 through 44.a/7260/075 + 44.a/7270/075 - 44.a/7280/075  + 44.a/7290/075 + 44.a/7300/075 + Sum column 44.a/7310/075 through 44.a/7330/075 - Sum column 44.a/7350/075 through 44.a/7400/075+ 44.a/7410/075 - 44.a/7420/075 + Sum column 44.a/7430/075 through 44.a/7450/075 - 44.a/7470/075 + Sum column 44.a/7480/075 through 44.a/7610/075</t>
  </si>
  <si>
    <t>44.a/7699/080 = 44.a/7199/080 + Sum column 44.a/7200/080 through 44.a/7240/080 - Sum column 44.a/7250/080 through 44.a/7260/080 + 44.a/7270/080 - 44.a/7280/080  + 44.a/7290/080 + 44.a/7300/080 + Sum column 44.a/7310/080 through 44.a/7330/080 - Sum column 44.a/7350/080 through 44.a/7400/080+ 44.a/7410/080 - 44.a/7420/080 + Sum column 44.a/7430/080 through 44.a/7450/080 - 44.a/7470/080 + Sum column 44.a/7480/080 through 44.a/7610/080</t>
  </si>
  <si>
    <t>44.a/7699/082 = 44.a/7199/082 + Sum column 44.a/7200/082 through 44.a/7240/082 - Sum column 44.a/7250/082 through 44.a/7260/082 + 44.a/7270/082 - 44.a/7280/082  + 44.a/7290/082 + 44.a/7300/082 + Sum column 44.a/7310/082 through 44.a/7330/082 - Sum column 44.a/7350/082 through 44.a/7400/082+ 44.a/7410/082 - 44.a/7420/082 + Sum column 44.a/7430/082 through 44.a/7450/082 - 44.a/7470/082 + Sum column 44.a/7480/082 through 44.a/7610/082</t>
  </si>
  <si>
    <t>44.a/7699/085 = 44.a/7199/085 + Sum column 44.a/7200/085 through 44.a/7240/085 - Sum column 44.a/7250/085 through 44.a/7260/085 + 44.a/7270/085 - 44.a/7280/085  + 44.a/7290/085 + 44.a/7300/085 + Sum column 44.a/7310/085 through 44.a/7330/085 - Sum column 44.a/7350/085 through 44.a/7400/085+ 44.a/7410/085 - 44.a/7420/085 + Sum column 44.a/7430/085 through 44.a/7450/085 - 44.a/7470/085 + Sum column 44.a/7480/085 through 44.a/7610/085</t>
  </si>
  <si>
    <t>44.a/7699/090 = 44.a/7199/090 + Sum column 44.a/7200/090 through 44.a/7240/090 - Sum column 44.a/7250/090 through 44.a/7260/090 + 44.a/7270/090 - 44.a/7280/090  + 44.a/7290/090 + 44.a/7300/090 + Sum column 44.a/7310/090 through 44.a/7330/090 - Sum column 44.a/7350/090 through 44.a/7400/090+ 44.a/7410/090 - 44.a/7420/090 + Sum column 44.a/7430/090 through 44.a/7450/090 - 44.a/7470/090 + Sum column 44.a/7480/090 through 44.a/7610/090</t>
  </si>
  <si>
    <t>44.a/7699/100 = 44.a/7199/100 + Sum column 44.a/7200/100 through 44.a/7240/100 - Sum column 44.a/7250/100 through 44.a/7260/100 + 44.a/7270/100 - 44.a/7280/100  + 44.a/7290/100 + 44.a/7300/100 + Sum column 44.a/7310/100 through 44.a/7330/100 - Sum column 44.a/7350/100 through 44.a/7400/100+ 44.a/7410/100 - 44.a/7420/100 + Sum column 44.a/7430/100 through 44.a/7450/100 - 44.a/7470/100 + Sum column 44.a/7480/100 through 44.a/7610/100</t>
  </si>
  <si>
    <t>13.B/7380/010 = 13.B/7390/010</t>
  </si>
  <si>
    <t>13.B/7380/015 = 13.B/7390/015</t>
  </si>
  <si>
    <t>23.0/7999/005 = Sum column 23.0/7100/005 through 23.0/7220/005</t>
  </si>
  <si>
    <t>23.0/7999/010 = Sum column 23.0/7100/010 through 23.0/7220/010</t>
  </si>
  <si>
    <t>23.0/7999/015 = Sum column 23.0/7100/015 through 23.0/7220/015</t>
  </si>
  <si>
    <t>23.0/7999/020 = Sum column 23.0/7100/020 through 23.0/7220/020</t>
  </si>
  <si>
    <t>44.c/8820/100 = sum row 44.c/8820/005 through 44.c/8820/030 - 44.c/8820/035 + 44.c/8820/040 - 44.c/8820/045 + 44.c/8820/050</t>
  </si>
  <si>
    <t>44.c/8900/100 = sum row 44.c/8900/005 through 44.c/8900/030 - 44.c/8900/035 + 44.c/8900/040 - 44.c/8900/045 + 44.c/8900/050</t>
  </si>
  <si>
    <t>44.c/8200/100 = sum row 44.c/8200/005 through 44.c/8200/030 - 44.c/8200/035 + 44.c/8200/040 - 44.c/8200/045 + 44.c/8200/050</t>
  </si>
  <si>
    <t>44.c/8300/100 = sum row 44.c/8300/005 through 44.c/8300/030 - 44.c/8300/035 + 44.c/8300/040 - 44.c/8300/045 + 44.c/8300/050</t>
  </si>
  <si>
    <t>44.c/8410/100 = sum row 44.c/8410/005 through 44.c/8410/030 - 44.c/8410/035 + 44.c/8410/040 - 44.c/8410/045 + 44.c/8410/050</t>
  </si>
  <si>
    <t>(If 13.B/7430/020 &gt;  = 13.B/7340/020)</t>
  </si>
  <si>
    <t>(If 13.B/7430/025 &gt;  = 13.B/7340/025)</t>
  </si>
  <si>
    <t>13.B/7499/025 = 13.B/7420/025 + 13.A/7250/025</t>
  </si>
  <si>
    <t xml:space="preserve">1.2/7999/005 = 1.2/7100/005 + 1.2/7110/005 + 1.2/7120/005 + 1.2/7130/005 + 1.2/7200/005 + 1.2/7210/005 + 1.2/7220/005 + 1.2/7240/005 + 1.2/7250/005 + 1.2/7260/005 + 1.2/7270/005 + 1.2/7280/005 </t>
  </si>
  <si>
    <t xml:space="preserve">1.2/7999/010 = 1.2/7100/010 + 1.2/7110/010 + 1.2/7120/010 + 1.2/7130/010 + 1.2/7200/010 + 1.2/7210/010 + 1.2/7220/010 + 1.2/7240/010 + 1.2/7250/010 + 1.2/7260/010 + 1.2/7270/010 + 1.2/7280/010 </t>
  </si>
  <si>
    <t xml:space="preserve">1.2/7999/015 = 1.2/7100/015 + 1.2/7110/015 + 1.2/7120/015 + 1.2/7130/015 + 1.2/7200/015 + 1.2/7210/015 + 1.2/7220/015 + 1.2/7240/015 + 1.2/7250/015 + 1.2/7260/015 + 1.2/7270/015 + 1.2/7280/015 </t>
  </si>
  <si>
    <t xml:space="preserve">1.2/7999/020 = 1.2/7100/020 + 1.2/7110/020 + 1.2/7120/020 + 1.2/7130/020 + 1.2/7200/020 + 1.2/7210/020 + 1.2/7220/020 + 1.2/7240/020 + 1.2/7250/020 + 1.2/7260/020 + 1.2/7270/020 + 1.2/7280/020 </t>
  </si>
  <si>
    <t>1.2/7130/005 = 1.2/7150/005 + 1.2/7160/005 + 1.2/7170/005 + 1.2/7180/005 + 1.2/7190/005</t>
  </si>
  <si>
    <t>1.2/7130/010 = 1.2/7150/010 + 1.2/7160/010 + 1.2/7170/010 + 1.2/7180/010 + 1.2/7190/010</t>
  </si>
  <si>
    <t>1.2/7130/015 = 1.2/7150/015 + 1.2/7160/015 + 1.2/7170/015 + 1.2/7180/015 + 1.2/7190/015</t>
  </si>
  <si>
    <t>1.2/7130/020 = 1.2/7150/020 + 1.2/7160/020 + 1.2/7170/020 + 1.2/7180/020 + 1.2/7190/020</t>
  </si>
  <si>
    <t>1.2/7250/005 = 1.2/7253/005 + 1.2/7257/005</t>
  </si>
  <si>
    <t>1.2/7250/010 = 1.2/7253/010 + 1.2/7257/010</t>
  </si>
  <si>
    <t>1.2/7250/015 = 1.2/7253/015 + 1.2/7257/015</t>
  </si>
  <si>
    <t>1.2/7250/020 = 1.2/7253/020 + 1.2/7257/020</t>
  </si>
  <si>
    <t>1.2/7100/005 = 1.2/7100/010 + 1.2/7100/015 + 1.2/7100/020</t>
  </si>
  <si>
    <t>1.2/7110/005 = 1.2/7110/010 + 1.2/7110/015 + 1.2/7110/020</t>
  </si>
  <si>
    <t>IFRS 7.20(e) ;  39.66</t>
  </si>
  <si>
    <t xml:space="preserve">Available for sale financial assets </t>
  </si>
  <si>
    <t>IFRS 7.20(e) ;  39.67</t>
  </si>
  <si>
    <t xml:space="preserve">Held to maturity investments  </t>
  </si>
  <si>
    <t>Impairment on</t>
  </si>
  <si>
    <t xml:space="preserve"> 36.126 (a)</t>
  </si>
  <si>
    <t>Property, plant and equipment</t>
  </si>
  <si>
    <t>16.73(e)(v)-(vi)</t>
  </si>
  <si>
    <t xml:space="preserve">Investment properties    </t>
  </si>
  <si>
    <t>40.79 (d)(v)</t>
  </si>
  <si>
    <t>Goodwill</t>
  </si>
  <si>
    <t>IFRS 3.75 (e)</t>
  </si>
  <si>
    <t>Investments in associates and joint ventures accounted for using the equity method</t>
  </si>
  <si>
    <t>28.31</t>
  </si>
  <si>
    <t>Negative goodwill immediately recognised in profit or loss</t>
  </si>
  <si>
    <t>IFRS 3.67(g)</t>
  </si>
  <si>
    <t>1.81(c); 28.38; 31.56</t>
  </si>
  <si>
    <t>Profit or loss from non-current assets and disposal groups classified as held for sale not qualifying as discontinued operations</t>
  </si>
  <si>
    <t>IFRS 5.37</t>
  </si>
  <si>
    <t>TOTAL PROFIT OR LOSS BEFORE TAX FROM CONTINUING OPERATIONS</t>
  </si>
  <si>
    <t>Tax expense (income) related to profit or loss from continuing operations</t>
  </si>
  <si>
    <t>1.81(d); 12.77</t>
  </si>
  <si>
    <t>TOTAL PROFIT OR LOSS AFTER TAX FROM CONTINUING OPERATIONS</t>
  </si>
  <si>
    <t>TOTAL PROFIT OR LOSS AFTER TAX FROM DISCONTINUED OPERATIONS</t>
  </si>
  <si>
    <t>1.81.(e)</t>
  </si>
  <si>
    <t>TOTAL PROFIT OR LOSS AFTER TAX AND DISCONTINUED OPERATIONS AND BEFORE MINORITY INTEREST</t>
  </si>
  <si>
    <t>1.81(f)</t>
  </si>
  <si>
    <t>Profit or loss attributable to minority interest</t>
  </si>
  <si>
    <t>27.33; 1.82(a)</t>
  </si>
  <si>
    <t>NET PROFIT OR LOSS</t>
  </si>
  <si>
    <t>1.82(b)</t>
  </si>
  <si>
    <t>IAS/IFRS ref.</t>
  </si>
  <si>
    <t>Total (carrying amount)</t>
  </si>
  <si>
    <t>Derivatives held for trading</t>
  </si>
  <si>
    <t>39.9</t>
  </si>
  <si>
    <t>Equity instruments</t>
  </si>
  <si>
    <t>38 Information on fair value of financial instruments</t>
  </si>
  <si>
    <t xml:space="preserve">Residual Maturity </t>
  </si>
  <si>
    <t>17.31 a-d</t>
  </si>
  <si>
    <t xml:space="preserve"> &lt; 1 year</t>
  </si>
  <si>
    <t>Other movements</t>
  </si>
  <si>
    <t>38.118(e)(viii)</t>
  </si>
  <si>
    <t>Ending balance</t>
  </si>
  <si>
    <t>17.31 (a)</t>
  </si>
  <si>
    <t>Assets subject to an operating lease</t>
  </si>
  <si>
    <t>40.76 (a);     40.79 (d) (i)</t>
  </si>
  <si>
    <t>40.76 (a);                  40.79 (d) (i)</t>
  </si>
  <si>
    <t>40.76 (b);     40.79 (d) (ii)</t>
  </si>
  <si>
    <t>40.76 (c)     40.79 (d) (iii)</t>
  </si>
  <si>
    <t xml:space="preserve"> 40.76 (c); 40.79 (d) (iii)</t>
  </si>
  <si>
    <t>40.76 (c);    40.79 (d) (iii)</t>
  </si>
  <si>
    <t xml:space="preserve"> 40.76 (e); 40.79 (d) (vi)</t>
  </si>
  <si>
    <t xml:space="preserve"> 40.76 (f);  40.79 (d) (vii)</t>
  </si>
  <si>
    <t>39 AG 15 I</t>
  </si>
  <si>
    <t>Onerous contracts</t>
  </si>
  <si>
    <t>Table C : Credit exposure</t>
  </si>
  <si>
    <t>Derivatives</t>
  </si>
  <si>
    <t>17.20</t>
  </si>
  <si>
    <t>Accrued charges (other than from interest expenses on financial liabilities)</t>
  </si>
  <si>
    <t>IFRS 2.10, 32.22</t>
  </si>
  <si>
    <t xml:space="preserve">1.75 (e) </t>
  </si>
  <si>
    <t xml:space="preserve"> 32.28; 32 AG 27 (a)</t>
  </si>
  <si>
    <t>IFRS 2.10,  32.22</t>
  </si>
  <si>
    <t>1.3/7230/005 = 1.3/7230/010 + 1.3/7230/015 + 1.3/7230/020</t>
  </si>
  <si>
    <t>1.3/7240/005 = 1.3/7240/010 + 1.3/7240/015 + 1.3/7240/020</t>
  </si>
  <si>
    <t>1.3/7250/005 = 1.3/7250/010 + 1.3/7250/015 + 1.3/7250/020</t>
  </si>
  <si>
    <t>1.3/7260/005 = 1.3/7260/010 + 1.3/7260/015 + 1.3/7260/020</t>
  </si>
  <si>
    <t>1.3/7270/005 = 1.3/7270/010 + 1.3/7270/015 + 1.3/7270/020</t>
  </si>
  <si>
    <t>1.3/7280/005 = 1.3/7280/010 + 1.3/7280/015 + 1.3/7280/020</t>
  </si>
  <si>
    <t>1.3/7290/005 = 1.3/7290/010 + 1.3/7290/015 + 1.3/7290/020</t>
  </si>
  <si>
    <t>1.3/7300/005 = 1.3/7300/010 + 1.3/7300/015 + 1.3/7300/020</t>
  </si>
  <si>
    <t>1.3/7310/005 = 1.3/7310/010 + 1.3/7310/015 + 1.3/7310/020</t>
  </si>
  <si>
    <t>1.3/7320/005 = 1.3/7320/010 + 1.3/7320/015 + 1.3/7320/020</t>
  </si>
  <si>
    <t>1.3/7899/005 = 1.3/7899/010 + 1.3/7899/015 + 1.3/7899/020</t>
  </si>
  <si>
    <t>1.3/7999/005 = 1.3/7999/010 + 1.3/7999/015 + 1.3/7999/020</t>
  </si>
  <si>
    <t>1.3/7899/005 = 1.3/7100/005 + 1.3/7130/005 + 1.3/7140/005 + 1.3/7170/005 + 1.3/7260/005 - 1.3/7270/005 + 1.3/7280/005 - 1.3/7290/005 + 1.3/7300/005</t>
  </si>
  <si>
    <t>1.3/7899/010 = 1.3/7100/010 + 1.3/7130/010 + 1.3/7140/010 + 1.3/7170/010 + 1.3/7260/010 - 1.3/7270/010 + 1.3/7280/010 - 1.3/7290/010 + 1.3/7300/010</t>
  </si>
  <si>
    <t>1.3/7899/015 = 1.3/7100/015 + 1.3/7130/015 + 1.3/7140/015 + 1.3/7170/015 + 1.3/7260/015 - 1.3/7270/015 + 1.3/7280/015 - 1.3/7290/015 + 1.3/7300/015</t>
  </si>
  <si>
    <t>1.3/7899/020 = 1.3/7100/020 + 1.3/7130/020 + 1.3/7140/020 + 1.3/7170/020 + 1.3/7260/020 - 1.3/7270/020 + 1.3/7280/020 - 1.3/7290/020 + 1.3/7300/020</t>
  </si>
  <si>
    <t>1.3/7999/005 = 1.3/7899/005 + 1.2/7999/005</t>
  </si>
  <si>
    <t>1.3/7999/010 = 1.3/7899/010 + 1.2/7999/010</t>
  </si>
  <si>
    <t>1.3/7999/015 = 1.3/7899/015 + 1.2/7999/015</t>
  </si>
  <si>
    <t>1.3/7999/020 = 1.3/7899/020 + 1.2/7999/020</t>
  </si>
  <si>
    <t>1.3/7100/005 = 1.3/7110/005 + 1.3/7120/005</t>
  </si>
  <si>
    <t>1.3/7140/005 = 1.3/7150/005 + 1.3/7160/005</t>
  </si>
  <si>
    <t>1.3/7170/005 = 1.3/7180/005 + 1.3/7190/005 + 1.3/7200/005 + 1.3/7210/005 + 1.3/7220/005 + 1.3/7230/005 + 1.3/7240/005 + 1.3/7250/005</t>
  </si>
  <si>
    <t>1.3/7300/005 = 1.3/7310/005 + 1.3/7320/005</t>
  </si>
  <si>
    <t>1.3/7100/010 = 1.3/7110/010 + 1.3/7120/010</t>
  </si>
  <si>
    <t>1.3/7140/010 = 1.3/7150/010 + 1.3/7160/010</t>
  </si>
  <si>
    <t>25.0/7180/030 = 25.0/7100/030 + 25.0/7110/030 - 25.0/7120/030 - 25.0/7130/030 + 25.0/7140/030 + 25.0/7150/030 + 25.0/7160/030 + 25.0/7170/030</t>
  </si>
  <si>
    <t>25.0/7180/035 = 25.0/7100/035 + 25.0/7110/035 - 25.0/7120/035 - 25.0/7130/035 + 25.0/7140/035 + 25.0/7150/035 + 25.0/7160/035 + 25.0/7170/035</t>
  </si>
  <si>
    <t>25.0/7180/040 = 25.0/7100/040 + 25.0/7110/040 - 25.0/7120/040 - 25.0/7130/040 + 25.0/7140/040 + 25.0/7150/040 + 25.0/7160/040 + 25.0/7170/040</t>
  </si>
  <si>
    <t>25.0/7100/040 = Sum row 25.0/7100/005 through 25.0/7100/035</t>
  </si>
  <si>
    <t>25.0/7110/040 = Sum row 25.0/7110/005 through 25.0/7110/035</t>
  </si>
  <si>
    <t>25.0/7120/040 = Sum row 25.0/7120/005 through 25.0/7120/035</t>
  </si>
  <si>
    <t>25.0/7130/040 = Sum row 25.0/7130/005 through 25.0/7130/035</t>
  </si>
  <si>
    <t>25.0/7140/040 = Sum row 25.0/7140/005 through 25.0/7140/035</t>
  </si>
  <si>
    <t>25.0/7150/040 = Sum row 25.0/7150/005 through 25.0/7150/035</t>
  </si>
  <si>
    <t>25.0/7160/040 = Sum row 25.0/7160/005 through 25.0/7160/035</t>
  </si>
  <si>
    <t>25.0/7170/040 = Sum row 25.0/7170/005 through 25.0/7170/035</t>
  </si>
  <si>
    <t>25.0/7180/040 = Sum row 25.0/7180/005 through 25.0/7180/035</t>
  </si>
  <si>
    <t>25.0/7180/040 = 1.2/7240/005</t>
  </si>
  <si>
    <t>26.0/7999/005 = Sum column 26.0/7100/005 through 26.0/7170/005</t>
  </si>
  <si>
    <t>26.0/7999/005 = 1.2/7260/005</t>
  </si>
  <si>
    <t>27.0/7299/005 = 27.0/7110/005 + 27.0/7150/005 + 27.0/7160/005 + Sum column 27.0/7200/005 through 27.0/7240/005</t>
  </si>
  <si>
    <t>27.0/7999/005 = Sum column 27.0/7310/005 through 27.0/7350/005</t>
  </si>
  <si>
    <t>27.0/7110/005 = Sum column 27.0/7120/005 through 27.0/7140/005</t>
  </si>
  <si>
    <t>27.0/7160/005 = Sum column 27.0/7170/005 through 27.0/7190/005</t>
  </si>
  <si>
    <t>27.0/7299/005 = 2.0/7142/005</t>
  </si>
  <si>
    <t>27.0/7999/005 = 2.0/7147/005</t>
  </si>
  <si>
    <t>28.0/7999/005 = Sum column 28.0/7100/005 through 28.0/7140/005</t>
  </si>
  <si>
    <t>28.0/7999/010 = Sum column 28.0/7100/005 through 28.0/7140/010</t>
  </si>
  <si>
    <t>28.0/7999/015 = Sum column 28.0/7100/005 through 28.0/7140/015</t>
  </si>
  <si>
    <t>28.0/7100/015 = 28.0/7100/005 - 28.0/7100/010</t>
  </si>
  <si>
    <t>28.0/7110/015 = 28.0/7110/005 - 28.0/7110/010</t>
  </si>
  <si>
    <t>28.0/7120/015 = 28.0/7120/005 - 28.0/7120/010</t>
  </si>
  <si>
    <t>28.0/7130/015 = 28.0/7130/005 - 28.0/7130/010</t>
  </si>
  <si>
    <t>2.0/7150/005 = sum column 2.0/7152/005 through 2.0/7159/005</t>
  </si>
  <si>
    <t>2.0/7160/005 = sum column 2.0/7162/005 through 2.0/7169/005</t>
  </si>
  <si>
    <t>3.A/7110/005 = 3.A/7120/005 + 3.A/7130/005 + 3.A/7140/005</t>
  </si>
  <si>
    <t>3.A/7150/005 = 3.A/7160/005 + 3.A/7170/005 + 3.A/7180/005 + 3.A/7190/005 + 3.A/7200/005</t>
  </si>
  <si>
    <t>3.A/7210/005 = 3.A/7220/005 + 3.A/7230/005 + 3.A/7240/005 + 3.A/7250/005 + 3.A/7260/005</t>
  </si>
  <si>
    <t>3.A/7100/005 = 3.B/7100/010 + 3.B/7100/015 + 3.B/7100/020</t>
  </si>
  <si>
    <r>
      <t xml:space="preserve">Defined benefit plans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</si>
  <si>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 xml:space="preserve"> See comments in book 2 </t>
    </r>
  </si>
  <si>
    <r>
      <t>Of which:</t>
    </r>
    <r>
      <rPr>
        <sz val="11"/>
        <rFont val="Times New Roman"/>
        <family val="1"/>
      </rPr>
      <t xml:space="preserve"> amount of cash and cash equivalents held by the enterprise, but not available for use by  group</t>
    </r>
  </si>
  <si>
    <r>
      <t xml:space="preserve">44A  </t>
    </r>
    <r>
      <rPr>
        <b/>
        <sz val="12"/>
        <color indexed="8"/>
        <rFont val="Times New Roman"/>
        <family val="1"/>
      </rPr>
      <t xml:space="preserve">Analysis of </t>
    </r>
    <r>
      <rPr>
        <b/>
        <sz val="12"/>
        <rFont val="Times New Roman"/>
        <family val="1"/>
      </rPr>
      <t>equity</t>
    </r>
  </si>
  <si>
    <t>Issued capital                              IAS 1.68 (p)</t>
  </si>
  <si>
    <r>
      <t xml:space="preserve">OTHER COMMITMENTS (e.g. </t>
    </r>
    <r>
      <rPr>
        <b/>
        <sz val="11"/>
        <rFont val="Times New Roman"/>
        <family val="1"/>
      </rPr>
      <t>note issuance facilities,  revolving underwriting facilities,...)</t>
    </r>
  </si>
  <si>
    <t>Off-balance sheet commitments</t>
  </si>
  <si>
    <t>514.4</t>
  </si>
  <si>
    <t>33 Staff expenses.</t>
  </si>
  <si>
    <t xml:space="preserve">Marketing expenses </t>
  </si>
  <si>
    <t>516.21</t>
  </si>
  <si>
    <t>Professional fees</t>
  </si>
  <si>
    <t>IT expenses</t>
  </si>
  <si>
    <t>Rents</t>
  </si>
  <si>
    <t>516.23</t>
  </si>
  <si>
    <t>1.91/ 516.22/23</t>
  </si>
  <si>
    <t>Table C (transferee)</t>
  </si>
  <si>
    <t>Assets (financing granted)</t>
  </si>
  <si>
    <t>Reverse repo</t>
  </si>
  <si>
    <t>Table D (transferee)</t>
  </si>
  <si>
    <t>Revenues from discontinued operations</t>
  </si>
  <si>
    <t>Current tax liabilities</t>
  </si>
  <si>
    <t>(Interim dividends)</t>
  </si>
  <si>
    <t>Adjustments resulting from subsequent recognition of deferred tax assets</t>
  </si>
  <si>
    <t>IFRS 3.75(c)</t>
  </si>
  <si>
    <t>Recoverable amount</t>
  </si>
  <si>
    <t>IFRS 3.76</t>
  </si>
  <si>
    <t>Gross amount of impairment of goodwill</t>
  </si>
  <si>
    <t>IFRS 3.75h</t>
  </si>
  <si>
    <t>Accumulated impairment of goodwill</t>
  </si>
  <si>
    <t xml:space="preserve">Assets subject to an operating lease </t>
  </si>
  <si>
    <t>Table B Intangible assets accounted for by using the cost model (IAS 38.74)</t>
  </si>
  <si>
    <t>38.118(e) IFRS 3.75(a)</t>
  </si>
  <si>
    <t>38.118(e)(i)  IFRS 3.75(b)</t>
  </si>
  <si>
    <t>38.118(e)(ii) IFRS 3.75(d)</t>
  </si>
  <si>
    <t>38.118(e)(iv) IFRS 3.75(e)</t>
  </si>
  <si>
    <t>38.118(e)(vii) IFRS 3.75(f)</t>
  </si>
  <si>
    <t>38.118(e)(viii) IFRS 3.75(g)</t>
  </si>
  <si>
    <t>2.1. Current service cost</t>
  </si>
  <si>
    <t>2.2. Interest cost</t>
  </si>
  <si>
    <t>Revaluation increase (decrease) recognised in income statement</t>
  </si>
  <si>
    <t>Non Convertible subordinated debts schema A 272</t>
  </si>
  <si>
    <t>1.1.2.3. Property</t>
  </si>
  <si>
    <t>31.0/7999/010 = Sum column 31.0/7100/010 through 31.0/7130/010</t>
  </si>
  <si>
    <t>31.0/7999/015 = Sum column 31.0/7100/015 through 31.0/7130/015</t>
  </si>
  <si>
    <t>31.0/7100/015 = 31.0/7100/005 - 31.0/7100/010</t>
  </si>
  <si>
    <t>31.0/7110/015 = 31.0/7110/005 - 31.0/7110/010</t>
  </si>
  <si>
    <t>31.0/7120/015 = 31.0/7120/005 - 31.0/7120/010</t>
  </si>
  <si>
    <t>31.0/7130/015 = 31.0/7130/005 - 31.0/7130/010</t>
  </si>
  <si>
    <t>31.0/7999/015 = 31.0/7999/005 - 31.0/7999/010</t>
  </si>
  <si>
    <t>2.0/7200/005 ≥ 31.0/7999/015</t>
  </si>
  <si>
    <t>32.0/7100/005 = 32.0/7110/005 + 32.0/7120/005 + 32.0/7160/005 + 32.0/7170/005</t>
  </si>
  <si>
    <t>32.0/7120/005 = 32.0/7130/005 + 32.0/7150/005</t>
  </si>
  <si>
    <t>32.0/7200/005 = 32.0/7210/005 + 32.0/7220/005 + 32.0/7260/005 + 32.0/7270/005</t>
  </si>
  <si>
    <t>32.0/7220/005 = Sum column 32.0/7230/005 through 32.0/7250/005</t>
  </si>
  <si>
    <t>32.0/7999/005 = 32.0/7100/005 - 32.0/7200/005</t>
  </si>
  <si>
    <r>
      <t xml:space="preserve">32.0/7999/005 </t>
    </r>
    <r>
      <rPr>
        <sz val="10"/>
        <rFont val="Arial"/>
        <family val="2"/>
      </rPr>
      <t>=</t>
    </r>
    <r>
      <rPr>
        <sz val="10"/>
        <rFont val="courier new"/>
        <family val="3"/>
      </rPr>
      <t xml:space="preserve"> 2.0/7210/005</t>
    </r>
  </si>
  <si>
    <t>If 10.0/7180/030 + 10.0/7180/035 &gt; 0 then 10.0/7180/025</t>
  </si>
  <si>
    <t>If 10.0/7190/030 + 10.0/7190/035 &gt; 0 then 10.0/7190/025</t>
  </si>
  <si>
    <t>If 10.0/7200/030 + 10.0/7200/035 &gt; 0 then 10.0/7200/025</t>
  </si>
  <si>
    <t>If 10.0/7210/030 + 10.0/7210/035 &gt; 0 then 10.0/7210/025</t>
  </si>
  <si>
    <t>If 10.0/7220/030 + 10.0/7220/035 &gt; 0 then 10.0/7220/025</t>
  </si>
  <si>
    <t>If 10.0/7230/030 + 10.0/7230/035 &gt; 0 then 10.0/7230/025</t>
  </si>
  <si>
    <t>If 10.0/7240/030 + 10.0/7240/035 &gt; 0 then 10.0/7240/025</t>
  </si>
  <si>
    <t>If 10.0/7250/030 + 10.0/7250/035 &gt; 0 then 10.0/7250/025</t>
  </si>
  <si>
    <t>If 10.0/7260/030 + 10.0/7260/035 &gt; 0 then 10.0/7260/025</t>
  </si>
  <si>
    <t>If 10.0/7270/030 + 10.0/7270/035 &gt; 0 then 10.0/7270/025</t>
  </si>
  <si>
    <t>If 10.0/7280/030 + 10.0/7280/035 &gt; 0 then 10.0/7280/025</t>
  </si>
  <si>
    <t>If 10.0/7290/030 + 10.0/7290/035 &gt; 0 then 10.0/7290/025</t>
  </si>
  <si>
    <t>If 10.0/7300/030 + 10.0/7300/035 &gt; 0 then 10.0/7300/025</t>
  </si>
  <si>
    <t>If 10.0/7310/030 + 10.0/7310/035 &gt; 0 then 10.0/7310/025</t>
  </si>
  <si>
    <t>If 10.0/7320/030 + 10.0/7320/035 &gt; 0 then 10.0/7320/025</t>
  </si>
  <si>
    <t>If 10.0/7330/030 + 10.0/7330/035 &gt; 0 then 10.0/7330/025</t>
  </si>
  <si>
    <t>If 10.0/7340/030 + 10.0/7340/035 &gt; 0 then 10.0/7340/025</t>
  </si>
  <si>
    <t>(11.A/7100/005  or 11.A/7100/010) and (11.A/7100/015) both exist or neither</t>
  </si>
  <si>
    <t>(11.A/7105/005  or 11.A/7105/010) and (11.A/7105/015) both exist or neither</t>
  </si>
  <si>
    <t>Interest income on impaired financial assets accrued in accordance with IAS 39 AG 93 (IFRS 7.(d))</t>
  </si>
  <si>
    <t>When permitted to sell or repledge the collateral in the absence of default by the owner of collateral</t>
  </si>
  <si>
    <t>Hedges of a net investment in a foreign operation.</t>
  </si>
  <si>
    <t>(Current and deferred tax income, recognised in income statement)</t>
  </si>
  <si>
    <t xml:space="preserve"> 7.20 b</t>
  </si>
  <si>
    <t>Current and deferred tax expenses, recognised in income statement</t>
  </si>
  <si>
    <r>
      <t> </t>
    </r>
    <r>
      <rPr>
        <b/>
        <sz val="12"/>
        <rFont val="Times New Roman"/>
        <family val="1"/>
      </rPr>
      <t>Table A</t>
    </r>
  </si>
  <si>
    <r>
      <t> </t>
    </r>
    <r>
      <rPr>
        <b/>
        <sz val="12"/>
        <rFont val="Times New Roman"/>
        <family val="1"/>
      </rPr>
      <t>Table B : geographical breakdown</t>
    </r>
  </si>
  <si>
    <r>
      <t>Convertible Subordinated debts</t>
    </r>
    <r>
      <rPr>
        <b/>
        <sz val="11"/>
        <rFont val="Times New Roman"/>
        <family val="1"/>
      </rPr>
      <t xml:space="preserve">    </t>
    </r>
    <r>
      <rPr>
        <i/>
        <sz val="11"/>
        <rFont val="Times New Roman"/>
        <family val="1"/>
      </rPr>
      <t>schema A 271</t>
    </r>
  </si>
  <si>
    <r>
      <t>Subordinated advances</t>
    </r>
    <r>
      <rPr>
        <i/>
        <u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schema A 274</t>
    </r>
  </si>
  <si>
    <t>25  Provisions</t>
  </si>
  <si>
    <t>Minority interests included in group profit or loss</t>
  </si>
  <si>
    <t>Unrealised foreign currency gains and losses</t>
  </si>
  <si>
    <t>INVESTING AND FINANCING</t>
  </si>
  <si>
    <t>Depreciation / amortisation</t>
  </si>
  <si>
    <t>Provisions net</t>
  </si>
  <si>
    <t>Unrealised fair value (gains) losses via P &amp; L, i.e. for investment property, PPE, intangible assets,...</t>
  </si>
  <si>
    <t xml:space="preserve"> 7.20 c</t>
  </si>
  <si>
    <t>(Gains) Losses on sale of investments, net (i.e. HTM, associates, subsidiaries, tangible assets,...)</t>
  </si>
  <si>
    <t>OPERATING</t>
  </si>
  <si>
    <t>Unrealised gains (losses) from cash flow hedges, net</t>
  </si>
  <si>
    <t>Reserves (including retained earnings)</t>
  </si>
  <si>
    <t>1.75(e); 168(p)</t>
  </si>
  <si>
    <t>&lt;Treasury shares&gt;</t>
  </si>
  <si>
    <t>32.33/34</t>
  </si>
  <si>
    <t>Income from current year</t>
  </si>
  <si>
    <t xml:space="preserve">&lt;Interim dividends&gt; </t>
  </si>
  <si>
    <t xml:space="preserve">Minority interest </t>
  </si>
  <si>
    <t>1.68(o) &amp; 27.4/33</t>
  </si>
  <si>
    <t>Other items</t>
  </si>
  <si>
    <t xml:space="preserve">    Other items</t>
  </si>
  <si>
    <t>Break-down in table</t>
  </si>
  <si>
    <t>CONTINUING OPERATIONS</t>
  </si>
  <si>
    <t>Financial &amp; operating income and expenses</t>
  </si>
  <si>
    <t>1.81(a)</t>
  </si>
  <si>
    <t>Interest income</t>
  </si>
  <si>
    <t xml:space="preserve"> 18.35 (b)(iii); IFRS 7.IG13</t>
  </si>
  <si>
    <t>IFRS 7.20 (b)</t>
  </si>
  <si>
    <t>Financial assets held for trading (if accounted for separately)</t>
  </si>
  <si>
    <t>IFRS 7.20 (a) (i);  1.86;  39.9</t>
  </si>
  <si>
    <t>Financial assets designated at fair value through profit or loss (if accounted for separately)</t>
  </si>
  <si>
    <t>IFRS 7.20 (a)(i);  1.86;  39.9</t>
  </si>
  <si>
    <t>IFRS 7.20(b);  39.55(b);  39.9</t>
  </si>
  <si>
    <t>IFRS 7.20 (b);  39.9</t>
  </si>
  <si>
    <t>Held-to-maturity investments</t>
  </si>
  <si>
    <t xml:space="preserve">Derivatives - Hedge accounting, interest rate risk </t>
  </si>
  <si>
    <t>IFRS 7.20 (b)  39.9 </t>
  </si>
  <si>
    <t>Other assets</t>
  </si>
  <si>
    <t xml:space="preserve"> 1.86</t>
  </si>
  <si>
    <t>(Interest expenses)</t>
  </si>
  <si>
    <t>IFRS 7 IG 13</t>
  </si>
  <si>
    <t>IFRS 7.20 (b);  1.86</t>
  </si>
  <si>
    <t>19.120A (j)</t>
  </si>
  <si>
    <t xml:space="preserve"> 19.120A (j)</t>
  </si>
  <si>
    <t xml:space="preserve"> 19.120A (k) (ii)</t>
  </si>
  <si>
    <t xml:space="preserve"> 19.120A (k) (i)</t>
  </si>
  <si>
    <t xml:space="preserve"> 19.120A (f) (i)</t>
  </si>
  <si>
    <t xml:space="preserve"> 19.120A (f) (iii)</t>
  </si>
  <si>
    <t xml:space="preserve"> 19.120A (f) (v)</t>
  </si>
  <si>
    <t xml:space="preserve"> 19.120A (f) </t>
  </si>
  <si>
    <t xml:space="preserve"> 19.120A (g) </t>
  </si>
  <si>
    <t xml:space="preserve"> 19.120A (g) (i)</t>
  </si>
  <si>
    <t xml:space="preserve"> 19.120A (g) (ii)</t>
  </si>
  <si>
    <t xml:space="preserve"> 19.120A (g) (iii)</t>
  </si>
  <si>
    <t xml:space="preserve"> 19.104A;  120A (g) (iv)</t>
  </si>
  <si>
    <t xml:space="preserve"> 19.120A (g) (v)</t>
  </si>
  <si>
    <t xml:space="preserve"> 19.120A (g) (vi)</t>
  </si>
  <si>
    <t xml:space="preserve"> 19.120A (g) (vii)</t>
  </si>
  <si>
    <t>19.120A (g) (viii)</t>
  </si>
  <si>
    <t xml:space="preserve"> 19.120A (m)</t>
  </si>
  <si>
    <t xml:space="preserve"> 19.120A (m) </t>
  </si>
  <si>
    <t xml:space="preserve"> 19.120A (i)</t>
  </si>
  <si>
    <t xml:space="preserve"> 19.120A (q)</t>
  </si>
  <si>
    <t xml:space="preserve"> 19.120A (c)</t>
  </si>
  <si>
    <t xml:space="preserve"> 19.120A (c) (vii)</t>
  </si>
  <si>
    <t xml:space="preserve"> 19.120A (c) (i)</t>
  </si>
  <si>
    <t xml:space="preserve"> 19.120A (c) (ii)</t>
  </si>
  <si>
    <t xml:space="preserve"> 19.120A (c) (iv)</t>
  </si>
  <si>
    <t xml:space="preserve"> 19.120A (c) (viii)</t>
  </si>
  <si>
    <t xml:space="preserve"> 19.120A (c) (v)</t>
  </si>
  <si>
    <t xml:space="preserve"> 19.120A (c) (iii)</t>
  </si>
  <si>
    <t xml:space="preserve"> 19.120A (n)</t>
  </si>
  <si>
    <t xml:space="preserve"> 19.120A (n) (i)</t>
  </si>
  <si>
    <t xml:space="preserve"> 19.120A (n) (ii)</t>
  </si>
  <si>
    <t xml:space="preserve"> 19.120A (n) (iv)</t>
  </si>
  <si>
    <t xml:space="preserve"> 19.120A (n) (iii)</t>
  </si>
  <si>
    <t xml:space="preserve"> 19.120A (n) (v)</t>
  </si>
  <si>
    <t xml:space="preserve"> 19.120A (n) (vi)</t>
  </si>
  <si>
    <t xml:space="preserve"> 19.120A (o) </t>
  </si>
  <si>
    <t xml:space="preserve"> 19.120A (o) (i)</t>
  </si>
  <si>
    <t xml:space="preserve"> 19.120A (o) (ii)</t>
  </si>
  <si>
    <t xml:space="preserve"> 38.85 and 86</t>
  </si>
  <si>
    <t>1.96 (a); 1.IG4</t>
  </si>
  <si>
    <t>1.96 (b); 1.IG4</t>
  </si>
  <si>
    <t>38.85-86</t>
  </si>
  <si>
    <t>39.102 (a)</t>
  </si>
  <si>
    <t>1.96 (c); 1.IG4</t>
  </si>
  <si>
    <t>21.52 (b)</t>
  </si>
  <si>
    <t>1.96 (c); IAS1.IG4</t>
  </si>
  <si>
    <t>IFRS 7.23 (c); 39.95-96</t>
  </si>
  <si>
    <t xml:space="preserve"> 1.96 (c); 1.IG4</t>
  </si>
  <si>
    <t>39.55 (b)</t>
  </si>
  <si>
    <t>1.96 (d);  8.49</t>
  </si>
  <si>
    <t>8.49</t>
  </si>
  <si>
    <t>1.96 (d);  8.28-29</t>
  </si>
  <si>
    <t>8.28-29</t>
  </si>
  <si>
    <t xml:space="preserve"> 1.97 (a)</t>
  </si>
  <si>
    <t>1.97 (a)</t>
  </si>
  <si>
    <t>1.81 (f);  1.96 (a); 1.97 (b)</t>
  </si>
  <si>
    <t>1.97</t>
  </si>
  <si>
    <t>1.97;  32.33</t>
  </si>
  <si>
    <t>1.97 (b)</t>
  </si>
  <si>
    <t>32.59</t>
  </si>
  <si>
    <t>32.33; 1.97</t>
  </si>
  <si>
    <t>12.64</t>
  </si>
  <si>
    <t>Minority interests           IAS 1.68 (o); 27.4; 27.28</t>
  </si>
  <si>
    <t>Total amount</t>
  </si>
  <si>
    <t>IFRS 5.38</t>
  </si>
  <si>
    <t>Interim dividends</t>
  </si>
  <si>
    <t>Minority interests: Other items</t>
  </si>
  <si>
    <t xml:space="preserve">TOTAL EQUITY </t>
  </si>
  <si>
    <t>TOTAL LIABILITIES AND EQUITY</t>
  </si>
  <si>
    <t>Of which: Discontinued operations       IFRS 5.32</t>
  </si>
  <si>
    <t>Total closing balance (total tables A+B)</t>
  </si>
  <si>
    <t>Table A : Summarised financial information of associates</t>
  </si>
  <si>
    <t>Entity</t>
  </si>
  <si>
    <t>Accounted for by using equity method : 28.37 (b)</t>
  </si>
  <si>
    <t>Not accounted for by using equity method : 28.37 (h-i)</t>
  </si>
  <si>
    <t>Table B: Summarised financial information of subsidiaries and joint ventures</t>
  </si>
  <si>
    <t>Accounted for by using equity method: 28.37 (b)</t>
  </si>
  <si>
    <t>Liabilities 28.37(b)</t>
  </si>
  <si>
    <t>Profit or loss 28.37 (b)</t>
  </si>
  <si>
    <t>Accumulated equity interest     (%)</t>
  </si>
  <si>
    <t>Assets  28.37(b)</t>
  </si>
  <si>
    <t>Other liabilities</t>
  </si>
  <si>
    <t xml:space="preserve">Expenses on share capital repayable on demand </t>
  </si>
  <si>
    <t>11.A/8599/005 = 11.A/7219/005 + 11.A/7399/005 + 11.A/7500/005</t>
  </si>
  <si>
    <t>11.A/8599/010 = 11.A/7219/010 + 11.A/7399/010 + 11.A/7500/010</t>
  </si>
  <si>
    <t>11.A/8599/015 = 11.A/7219/015 + 11.A/7399/015 + 11.A/7500/015</t>
  </si>
  <si>
    <t xml:space="preserve">  Conversion of Debt to Equity</t>
  </si>
  <si>
    <t>44B Statement of recognised income and expense</t>
  </si>
  <si>
    <t xml:space="preserve">1.7. Other amounts recognized in the balance sheet </t>
  </si>
  <si>
    <r>
      <t>1.5. Amounts not recognised as an asset, due to limits of para 58 (b)</t>
    </r>
    <r>
      <rPr>
        <vertAlign val="superscript"/>
        <sz val="11"/>
        <rFont val="Times New Roman"/>
        <family val="1"/>
      </rPr>
      <t xml:space="preserve"> </t>
    </r>
  </si>
  <si>
    <t>42.0/7299/005 = 42.0/7300/005 + 42.0/7310/005 - 42.0/7320/005 -42.0/7330/005 + 42.0/7340/005 + 42.0/7350/005 42.0/7360/005 +42.0/8365/005</t>
  </si>
  <si>
    <t>40.32c, 40.75(f)(iv)</t>
  </si>
  <si>
    <t xml:space="preserve">2. Consolidated profit or loss </t>
  </si>
  <si>
    <t>7.A/7180/015 = 7.B/7180/025 + 7.B/7180/030 + 7.B/7180/035</t>
  </si>
  <si>
    <t>21 Financial liabilities designated at fair value through profit or loss</t>
  </si>
  <si>
    <r>
      <t>6.B/7999/020 = 6.B/7100/020 + 6.B/</t>
    </r>
    <r>
      <rPr>
        <sz val="10"/>
        <color indexed="10"/>
        <rFont val="courier new"/>
        <family val="3"/>
      </rPr>
      <t>7</t>
    </r>
    <r>
      <rPr>
        <sz val="10"/>
        <rFont val="courier new"/>
        <family val="3"/>
      </rPr>
      <t>130/020 + 6.B/7190/020</t>
    </r>
  </si>
  <si>
    <r>
      <t>9.A/7210/025 = 9.B/7210/030 + 9.B/7210</t>
    </r>
    <r>
      <rPr>
        <sz val="10"/>
        <color indexed="10"/>
        <rFont val="courier new"/>
        <family val="3"/>
      </rPr>
      <t>/</t>
    </r>
    <r>
      <rPr>
        <sz val="10"/>
        <rFont val="courier new"/>
        <family val="3"/>
      </rPr>
      <t>035 + 9.B/7210/040</t>
    </r>
  </si>
  <si>
    <t xml:space="preserve">1.2/7180/005 &gt;= 23.0/7999/005 + 23.0/7999/010 + 23.0/7999/015 + 23.0/7999/020 </t>
  </si>
  <si>
    <t>29.0/7120/020 = 29.0/7110/020</t>
  </si>
  <si>
    <t>If 43.0/7600/005 &gt; 0 then 43.0/7599/005 &gt; 0</t>
  </si>
  <si>
    <t>43.0/7515/005 = 43.0/7285/005 + 43.0/7405/005 + 43.0/7500/005</t>
  </si>
  <si>
    <t xml:space="preserve">43.0/7525/005 = 43.0/7520/005 + 43.0/7515/005 + 43.0/7510/005  </t>
  </si>
  <si>
    <t>43.0/7105/005 = - 43.0/7110/005 + 43.0/7115/005 + 43.0/7120/005 + 43.0/7125/005 + 43.0/7135/005 + 43.0/7140/005 + 43.0/7145/005 + 43.0/7150/005 + 43.0/7155/005 + 43.0/7165/005 + 43.0/7170/005 + 43.0/7175/005</t>
  </si>
  <si>
    <t>24.17(d)</t>
  </si>
  <si>
    <t>Table B:                                     Expenses and income generated by transactions with related parties</t>
  </si>
  <si>
    <t>Difference between the carrying amount and the amount contractually required to pay at maturity</t>
  </si>
  <si>
    <t>IFRS 7.8 (e) (i)</t>
  </si>
  <si>
    <t>IFRS 7.10 (a)</t>
  </si>
  <si>
    <t>IFRS 7.10 (b)</t>
  </si>
  <si>
    <t xml:space="preserve">Deposits (other than from credit institutions) </t>
  </si>
  <si>
    <t xml:space="preserve">Derivatives - hedge accounting </t>
  </si>
  <si>
    <t>IFRS 7.22(b); 39.9</t>
  </si>
  <si>
    <t xml:space="preserve">Fair value changes of the hedged items in portfolio hedge of interest rate risk </t>
  </si>
  <si>
    <t>39.89A(a)</t>
  </si>
  <si>
    <t>Tangible assets</t>
  </si>
  <si>
    <t>Property, Plant and Equipment</t>
  </si>
  <si>
    <t>1.68(a)</t>
  </si>
  <si>
    <t xml:space="preserve">Investment property </t>
  </si>
  <si>
    <t>1.68(b)</t>
  </si>
  <si>
    <t>Intangible assets</t>
  </si>
  <si>
    <t>1.68(c)</t>
  </si>
  <si>
    <t xml:space="preserve">Goodwill </t>
  </si>
  <si>
    <t>IFRS 3.51; IFRS 3.75(a)</t>
  </si>
  <si>
    <t>Other intangible assets</t>
  </si>
  <si>
    <t>IAS 38.8</t>
  </si>
  <si>
    <t>1.68(e)</t>
  </si>
  <si>
    <t xml:space="preserve">Tax assets </t>
  </si>
  <si>
    <t>1.68(m)-(n)</t>
  </si>
  <si>
    <t>Current tax assets</t>
  </si>
  <si>
    <t>Jur1</t>
  </si>
  <si>
    <t>41.A/7100/035 = Sum column 41.A/7110/035 through 41.A/7160/035</t>
  </si>
  <si>
    <t>41.A/7100/040 = Sum column 41.A/7110/040 through 41.A/7160/040</t>
  </si>
  <si>
    <t>41.A/7170/005 = Sum column 41.A/7180/005 through 41.A/7190/005</t>
  </si>
  <si>
    <t>41.A/7170/010 = Sum column 41.A/7180/010 through 41.A/7190/010</t>
  </si>
  <si>
    <t>41.A/7170/015 = Sum column 41.A/7180/015 through 41.A/7190/015</t>
  </si>
  <si>
    <t>41.A/7170/020 = Sum column 41.A/7180/020 through 41.A/7190/020</t>
  </si>
  <si>
    <t>41.A/7170/025 = Sum column 41.A/7180/025 through 41.A/7190/025</t>
  </si>
  <si>
    <t>41.A/7170/030 = Sum column 41.A/7180/030 through 41.A/7190/030</t>
  </si>
  <si>
    <t>41.A/7170/035 = Sum column 41.A/7180/035 through 41.A/7190/035</t>
  </si>
  <si>
    <t>41.A/7170/040 = Sum column 41.A/7180/040 through 41.A/7190/040</t>
  </si>
  <si>
    <t>41.A/7299/005 = 41.A/7100/005 + 41.A/7170/005 + 41.A/7200/005</t>
  </si>
  <si>
    <t>41.A/7299/010 = 41.A/7100/010 + 41.A/7170/010 + 41.A/7200/010</t>
  </si>
  <si>
    <t>41.A/7299/015 = 41.A/7100/015 + 41.A/7170/015 + 41.A/7200/015</t>
  </si>
  <si>
    <t>41.A/7299/020 = 41.A/7100/020 + 41.A/7170/020 + 41.A/7200/020</t>
  </si>
  <si>
    <t>41.A/7299/025 = 41.A/7100/025 + 41.A/7170/025 + 41.A/7200/025</t>
  </si>
  <si>
    <t>41.A/7299/030 = 41.A/7100/030 + 41.A/7170/030 + 41.A/7200/030</t>
  </si>
  <si>
    <t>41.A/7299/035 = 41.A/7100/035 + 41.A/7170/035 + 41.A/7200/035</t>
  </si>
  <si>
    <t>41.A/7299/040 = 41.A/7100/040 + 41.A/7170/040 + 41.A/7200/040</t>
  </si>
  <si>
    <t>41.A/7300/005 = 41.A/7310/005 + 41.A/7320/005</t>
  </si>
  <si>
    <t>41.A/7300/010 = 41.A/7310/010 + 41.A/7320/010</t>
  </si>
  <si>
    <t>41.A/7300/015 = 41.A/7310/015 + 41.A/7320/015</t>
  </si>
  <si>
    <t>41.A/7300/020 = 41.A/7310/020 + 41.A/7320/020</t>
  </si>
  <si>
    <t>41.A/7300/025 = 41.A/7310/025 + 41.A/7320/025</t>
  </si>
  <si>
    <t>41.A/7300/030 = 41.A/7310/030 + 41.A/7320/030</t>
  </si>
  <si>
    <t>41.A/7300/035 = 41.A/7310/035 + 41.A/7320/035</t>
  </si>
  <si>
    <t>41.A/7300/040 = 41.A/7310/040 + 41.A/7320/040</t>
  </si>
  <si>
    <t>41.A/7330/005 = sum column 41.A/7340/005 through 41.A/7360/005</t>
  </si>
  <si>
    <t>41.A/7330/010 = sum column 41.A/7340/010 through 41.A/7360/010</t>
  </si>
  <si>
    <t>41.A/7330/015 = sum column 41.A/7340/015 through 41.A/7360/015</t>
  </si>
  <si>
    <t>41.A/7330/020 = sum column 41.A/7340/020 through 41.A/7360/020</t>
  </si>
  <si>
    <t>41.A/7330/025 = sum column 41.A/7340/025 through 41.A/7360/025</t>
  </si>
  <si>
    <t>41.A/7330/030 = sum column 41.A/7340/030 through 41.A/7360/030</t>
  </si>
  <si>
    <t>IFRS 7.9 (c)</t>
  </si>
  <si>
    <t>IFRS 7.9 (d)</t>
  </si>
  <si>
    <t>Loans and advances</t>
  </si>
  <si>
    <t>3 Financial assets held for trading</t>
  </si>
  <si>
    <t>4 Derivatives held for trading</t>
  </si>
  <si>
    <t>025</t>
  </si>
  <si>
    <t>030</t>
  </si>
  <si>
    <t>5 Financial Assets designated at fair value through profit or loss: credit risk information on loans and advances</t>
  </si>
  <si>
    <t>Amortised cost</t>
  </si>
  <si>
    <t>6 Financial assets designated at fair value through profit or loss</t>
  </si>
  <si>
    <t>Fair value of unimpaired assets</t>
  </si>
  <si>
    <t>Fair value of impaired assets</t>
  </si>
  <si>
    <t xml:space="preserve">Total net carrying amount </t>
  </si>
  <si>
    <t>If 10.0/7170/030 + 10.0/7170/035 &gt; 0 then 10.0/7170/025</t>
  </si>
  <si>
    <t>44.c/8420/100 = sum row 44.c/8420/005 through 44.c/8420/030 - 44.c/8420/035 + 44.c/8420/040 - 44.c/8420/045 + 44.c/8420/050</t>
  </si>
  <si>
    <t>44.c/8430/100 = sum row 44.c/8430/005 through 44.c/8430/030 - 44.c/8430/035 + 44.c/8430/040 - 44.c/8430/045 + 44.c/8430/050</t>
  </si>
  <si>
    <t>44.c/8440/100 = sum row 44.c/8440/005 through 44.c/8440/030 - 44.c/8440/035 + 44.c/8440/040 - 44.c/8440/045 + 44.c/8440/050</t>
  </si>
  <si>
    <t>44.c/8450/100 = sum row 44.c/8450/005 through 44.c/8450/030 - 44.c/8450/035 + 44.c/8450/040 - 44.c/8450/045 + 44.c/8450/050</t>
  </si>
  <si>
    <t>44.c/8460/100 = sum row 44.c/8460/005 through 44.c/8460/030 - 44.c/8460/035 + 44.c/8460/040 - 44.c/8460/045 + 44.c/8460/050</t>
  </si>
  <si>
    <t>44.c/8470/100 = sum row 44.c/8470/005 through 44.c/8470/030 - 44.c/8470/035 + 44.c/8470/040 - 44.c/8470/045 + 44.c/8470/050</t>
  </si>
  <si>
    <t>44.c/8480/100 = sum row 44.c/8480/005 through 44.c/8480/030 - 44.c/8480/035 + 44.c/8480/040 - 44.c/8480/045 + 44.c/8480/050</t>
  </si>
  <si>
    <t>44.c/8510/100 = sum row 44.c/8510/005 through 44.c/8510/030 - 44.c/8510/035 + 44.c/8510/040 - 44.c/8510/045 + 44.c/8510/050</t>
  </si>
  <si>
    <t>44.c/8520/100 = sum row 44.c/8520/005 through 44.c/8520/030 - 44.c/8520/035 + 44.c/8520/040 - 44.c/8520/045 + 44.c/8520/050</t>
  </si>
  <si>
    <t>44.c/8530/100 = sum row 44.c/8530/005 through 44.c/8530/030 - 44.c/8530/035 + 44.c/8530/040 - 44.c/8530/045 + 44.c/8530/050</t>
  </si>
  <si>
    <t>44.c/8540/100 = sum row 44.c/8540/005 through 44.c/8540/030 - 44.c/8540/035 + 44.c/8540/040 - 44.c/8540/045 + 44.c/8540/050</t>
  </si>
  <si>
    <t>(11.A/7170/005  or 11.A/7170/010) and (11.A/7170/015) both exist or neither</t>
  </si>
  <si>
    <t>(11.A/7175/005  or 11.A/7175/010) and (11.A/7175/015) both exist or neither</t>
  </si>
  <si>
    <t>(11.A/7180/005  or 11.A/7180/010) and (11.A/7180/015) both exist or neither</t>
  </si>
  <si>
    <t>(11.A/7185/005  or 11.A/7185/010) and (11.A/7185/015) both exist or neither</t>
  </si>
  <si>
    <t>(11.A/7190/005  or 11.A/7190/010) and (11.A/7190/015) both exist or neither</t>
  </si>
  <si>
    <t>(11.A/7195/005  or 11.A/7195/010) and (11.A/7195/015) both exist or neither</t>
  </si>
  <si>
    <t>(11.A/7200/005  or 11.A/7200/010) and (11.A/7200/015) both exist or neither</t>
  </si>
  <si>
    <t>(11.A/7205/005  or 11.A/7205/010) and (11.A/7205/015) both exist or neither</t>
  </si>
  <si>
    <t>(11.A/7210/005  or 11.A/7210/010) and (11.A/7210/015) both exist or neither</t>
  </si>
  <si>
    <t>(11.A/7219/005  or 11.A/7219/010) and (11.A/7219/015) both exist or neither</t>
  </si>
  <si>
    <t>(11.A/7220/005  or 11.A/7220/010) and (11.A/7220/015) both exist or neither</t>
  </si>
  <si>
    <t>(11.A/7225/005  or 11.A/7225/010) and (11.A/7225/015) both exist or neither</t>
  </si>
  <si>
    <t>(11.A/7230/005  or 11.A/7230/010) and (11.A/7230/015) both exist or neither</t>
  </si>
  <si>
    <t>(11.A/7235/005  or 11.A/7235/010) and (11.A/7235/015) both exist or neither</t>
  </si>
  <si>
    <t>(11.A/7240/005  or 11.A/7240/010) and (11.A/7240/015) both exist or neither</t>
  </si>
  <si>
    <t>(11.A/7245/005  or 11.A/7245/010) and (11.A/7245/015) both exist or neither</t>
  </si>
  <si>
    <t>(11.A/7250/005  or 11.A/7250/010) and (11.A/7250/015) both exist or neither</t>
  </si>
  <si>
    <t>(11.A/7255/005  or 11.A/7255/010) and (11.A/7255/015) both exist or neither</t>
  </si>
  <si>
    <t>(11.A/7260/005  or 11.A/7260/010) and (11.A/7260/015) both exist or neither</t>
  </si>
  <si>
    <t>Attributable to equity holders of the parent</t>
  </si>
  <si>
    <t>Attributable to minority interest</t>
  </si>
  <si>
    <t>1.1. Net profit before taxes</t>
  </si>
  <si>
    <t>1.2. Statutory tax rate</t>
  </si>
  <si>
    <t>11.1. Net profit before taxes</t>
  </si>
  <si>
    <t>11.2. Effective tax rate</t>
  </si>
  <si>
    <t>Net amount 12.81 (c) (i)</t>
  </si>
  <si>
    <t>% 12.81 (c) (ii)</t>
  </si>
  <si>
    <t>17 Reconciliation of statutory tax to effective tax</t>
  </si>
  <si>
    <t>Employee benefits</t>
  </si>
  <si>
    <t>19.58</t>
  </si>
  <si>
    <t>Servicing assets for servicing rights</t>
  </si>
  <si>
    <t>39.24-27</t>
  </si>
  <si>
    <t>Prepaid charges</t>
  </si>
  <si>
    <t>Gains (losses) from hedge accounting</t>
  </si>
  <si>
    <t>IFRS 7.24</t>
  </si>
  <si>
    <t>Exchange differences , net</t>
  </si>
  <si>
    <t>21.28 / 52a</t>
  </si>
  <si>
    <t>Gains (losses) on derecognition of assets other than held for sale, net</t>
  </si>
  <si>
    <t xml:space="preserve"> 1.34</t>
  </si>
  <si>
    <t>Other operating net income</t>
  </si>
  <si>
    <t>Administration costs</t>
  </si>
  <si>
    <t>1.88/89/92</t>
  </si>
  <si>
    <t>Fair values of collateral sold/repledged IFRS 7.15 (b)</t>
  </si>
  <si>
    <t>Staff expenses</t>
  </si>
  <si>
    <t>1.91</t>
  </si>
  <si>
    <t>General and administrative expenses</t>
  </si>
  <si>
    <t>Depreciation</t>
  </si>
  <si>
    <t xml:space="preserve"> 1.93</t>
  </si>
  <si>
    <t>1.88-91</t>
  </si>
  <si>
    <t>Investment Properties</t>
  </si>
  <si>
    <t>Intangible assets (other than goodwill)</t>
  </si>
  <si>
    <t>1.88-91;  38.118(e)(vii)</t>
  </si>
  <si>
    <t>37.84</t>
  </si>
  <si>
    <t>Impairment</t>
  </si>
  <si>
    <t>Impairment losses on financial assets not measured at fair value through profit or loss</t>
  </si>
  <si>
    <t>IFRS 7.20(e) ;  39.63</t>
  </si>
  <si>
    <t>Financial assets measured at cost (unquoted equity)</t>
  </si>
  <si>
    <t>13.A/7250/005 = 13.A/7100/005 + 13.A/7110/005 + 13.A/7120/005 - 13.A/7130/005 - 13.A/7140/005 + 13.A/7150/005 - 13.A/7160/005 - 13.A/7170/005 - 13.A/7180/005 + 13.A/7190/005 + 13.A/7200/005 - 13.A/7210/005 + 13.A/7240/005</t>
  </si>
  <si>
    <t>13.A/7250/010 = 13.A/7100/010 + 13.A/7110/010 + 13.A/7120/010 - 13.A/7130/010 - 13.A/7140/010 + 13.A/7150/010 - 13.A/7160/010 - 13.A/7170/010 - 13.A/7180/010 + 13.A/7190/010 + 13.A/7200/010 - 13.A/7210/010 + 13.A/7240/010</t>
  </si>
  <si>
    <t>13.A/7250/015 = 13.A/7100/015 + 13.A/7110/015 + 13.A/7120/015 - 13.A/7130/015 - 13.A/7140/015 + 13.A/7150/015 - 13.A/7160/015 - 13.A/7170/015 - 13.A/7180/015 + 13.A/7190/015 + 13.A/7200/015 - 13.A/7210/015 + 13.A/7240/015</t>
  </si>
  <si>
    <t>13.A/7250/020 = 13.A/7100/020 + 13.A/7110/020 + 13.A/7120/020 - 13.A/7130/020 - 13.A/7140/020 + 13.A/7150/020 - 13.A/7160/020 - 13.A/7170/020 - 13.A/7180/020 + 13.A/7190/020 + 13.A/7200/020 - 13.A/7210/020 + 13.A/7240/020</t>
  </si>
  <si>
    <t>13.A/7250/025 = 13.A/7100/025 + 13.A/7110/025 + 13.A/7120/025 - 13.A/7130/025 - 13.A/7140/025 + 13.A/7150/025 - 13.A/7160/025 - 13.A/7170/025 - 13.A/7180/025 + 13.A/7190/025 + 13.A/7200/025 - 13.A/7210/025 + 13.A/7240/025</t>
  </si>
  <si>
    <t>(If 13.A/7260/005 &gt;  = 13.A/7170/005)</t>
  </si>
  <si>
    <t>(If 13.A/7260/010 &gt;  = 13.A/7170/010)</t>
  </si>
  <si>
    <t>(If 13.A/7260/015 &gt;  = 13.A/7170/015)</t>
  </si>
  <si>
    <t>(If 13.A/7260/020 &gt;  = 13.A/7170/020)</t>
  </si>
  <si>
    <t>(If 13.A/7260/025 &gt;  = 13.A/7170/025)</t>
  </si>
  <si>
    <t>13.A/7100/025 = 13.A/7100/005 + 13.A/7100/010 + 13.A/7100/015 + 13.A/7100/020</t>
  </si>
  <si>
    <t>13.A/7110/025 = 13.A/7110/005 + 13.A/7110/010 + 13.A/7110/015 + 13.A/7110/020</t>
  </si>
  <si>
    <t>13.A/7120/025 = 13.A/7120/005 + 13.A/7120/010 + 13.A/7120/015 + 13.A/7120/020</t>
  </si>
  <si>
    <t>13.A/7130/025 = 13.A/7130/005 + 13.A/7130/010 + 13.A/7130/015 + 13.A/7130/020</t>
  </si>
  <si>
    <t>13.A/7140/025 = 13.A/7140/005 + 13.A/7140/010 + 13.A/7140/015 + 13.A/7140/020</t>
  </si>
  <si>
    <t>13.A/7150/025 = 13.A/7150/005 + 13.A/7150/010 + 13.A/7150/015 + 13.A/7150/020</t>
  </si>
  <si>
    <t>13.A/7160/025 = 13.A/7160/005 + 13.A/7160/010 + 13.A/7160/015 + 13.A/7160/020</t>
  </si>
  <si>
    <t>13.A/7170/025 = 13.A/7170/005 + 13.A/7170/010 + 13.A/7170/015 + 13.A/7170/020</t>
  </si>
  <si>
    <t>Income received in advance</t>
  </si>
  <si>
    <t>Charge-offs  directly recognized in profit or loss</t>
  </si>
  <si>
    <t>ref.</t>
  </si>
  <si>
    <t>IAS 32.11</t>
  </si>
  <si>
    <t xml:space="preserve">Debt instruments </t>
  </si>
  <si>
    <t xml:space="preserve">Carrying amount of financial assets pledged as collateral for </t>
  </si>
  <si>
    <t>IFRS 7.14 (a)</t>
  </si>
  <si>
    <t>Liabilities</t>
  </si>
  <si>
    <t xml:space="preserve">Contingent liabilities </t>
  </si>
  <si>
    <t>Maximum credit exposure CRD IFRS 7.36(a)</t>
  </si>
  <si>
    <t>Financial assets</t>
  </si>
  <si>
    <t xml:space="preserve">Equity instruments </t>
  </si>
  <si>
    <t>Non-financial assets</t>
  </si>
  <si>
    <t>Property, plant &amp; equipment</t>
  </si>
  <si>
    <t>Table D : Collateral held</t>
  </si>
  <si>
    <t>Fair values of collateral held IFRS 7.15 (a)</t>
  </si>
  <si>
    <t>Code D</t>
  </si>
  <si>
    <t>Table B: Assets held under an operating lease as a lessee</t>
  </si>
  <si>
    <t xml:space="preserve">1.3 Consolidated Balance Sheet Statement -Equity </t>
  </si>
  <si>
    <t>Non-current assets and disposal groups  held for sale</t>
  </si>
  <si>
    <t>Loan commitments and guarantees</t>
  </si>
  <si>
    <t>All categories can have 0 or more individual items/lines, 2 are shown in each category for illustrative purposes</t>
  </si>
  <si>
    <t>24.0/7111/005 and 24.0/7111/010 both exist or neither</t>
  </si>
  <si>
    <t>24.0/7111/005 and Sum row 24.0/7111/010 through 24.0/7111/025 &gt; 0 both exist or neither</t>
  </si>
  <si>
    <t>24.0/7999/010 = "Sum of column 24.0 / 010"</t>
  </si>
  <si>
    <t>24.0/7999/015 = "Sum of column 24.0 / 015"</t>
  </si>
  <si>
    <t>24.0/7999/020 = "Sum of column 24.0 / 020"</t>
  </si>
  <si>
    <t>24.0/7999/025 = "Sum of column 24.0 / 025"</t>
  </si>
  <si>
    <t>24.0/7999/020 = 1.2/7200/005</t>
  </si>
  <si>
    <t>25.0/7180/005 = 25.0/7100/005 + 25.0/7110/005 - 25.0/7120/005 - 25.0/7130/005 + 25.0/7140/005 + 25.0/7150/005 + 25.0/7160/005 + 25.0/7170/005</t>
  </si>
  <si>
    <t>25.0/7180/010 = 25.0/7100/010 + 25.0/7110/010 - 25.0/7120/010 - 25.0/7130/010 + 25.0/7140/010 + 25.0/7150/010 + 25.0/7160/010 + 25.0/7170/010</t>
  </si>
  <si>
    <t>25.0/7180/015 = 25.0/7100/015 + 25.0/7110/015 - 25.0/7120/015 - 25.0/7130/015 + 25.0/7140/015 + 25.0/7150/015 + 25.0/7160/015 + 25.0/7170/015</t>
  </si>
  <si>
    <t>25.0/7180/020 = 25.0/7100/020 + 25.0/7110/020 - 25.0/7120/020 - 25.0/7130/020 + 25.0/7140/020 + 25.0/7150/020 + 25.0/7160/020 + 25.0/7170/020</t>
  </si>
  <si>
    <t>25.0/7180/025 = 25.0/7100/025 + 25.0/7110/025 - 25.0/7120/025 - 25.0/7130/025 + 25.0/7140/025 + 25.0/7150/025 + 25.0/7160/025 + 25.0/7170/025</t>
  </si>
  <si>
    <t xml:space="preserve">34 General and administrative expenses </t>
  </si>
  <si>
    <r>
      <t>IFRS 7.16 ;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CRD Annex XII Part 2, §5 (i) (i-v)</t>
    </r>
  </si>
  <si>
    <t>Cash</t>
  </si>
  <si>
    <t>Table E : Collateral obtained by taking possession during the period</t>
  </si>
  <si>
    <t>Code E</t>
  </si>
  <si>
    <t>Assets/Liabilities</t>
  </si>
  <si>
    <t>Financial liabilities at amortised cost</t>
  </si>
  <si>
    <t xml:space="preserve">Share Capital </t>
  </si>
  <si>
    <t>(Cash payments to acquire tangible assets)</t>
  </si>
  <si>
    <t xml:space="preserve"> 7.16 a</t>
  </si>
  <si>
    <t>Cash receipts from the sale of tangible assets</t>
  </si>
  <si>
    <t xml:space="preserve"> 7.16 b</t>
  </si>
  <si>
    <t>(Cash payments to acquire intangible assets)</t>
  </si>
  <si>
    <t>Cash receipts from the sale of intangible assets</t>
  </si>
  <si>
    <t>(Cash payments for the investment in associates, subsidiaries, joint ventures net of cash acquired)</t>
  </si>
  <si>
    <t xml:space="preserve"> 7.16 c</t>
  </si>
  <si>
    <t>Cash receipts from the disposal of associates, subsidiaries, joint ventures  net of cash disposed</t>
  </si>
  <si>
    <t xml:space="preserve"> 7.16 d</t>
  </si>
  <si>
    <t>(Cash outflow to non-current assets or liabilities held for sale)</t>
  </si>
  <si>
    <t>Cash inflow from the non-current assets or liabilities held for sale</t>
  </si>
  <si>
    <t>(Cash payments to acquire held-to-maturity investments)</t>
  </si>
  <si>
    <t>Cash receipts from the sale of held-to-maturity investments</t>
  </si>
  <si>
    <t>(Other cash payments related to investing activities)</t>
  </si>
  <si>
    <t xml:space="preserve"> 7.16</t>
  </si>
  <si>
    <t>Other cash receipts related to investing activities</t>
  </si>
  <si>
    <t>Net cash flow from investing activities</t>
  </si>
  <si>
    <t>FINANCING ACTIVITIES</t>
  </si>
  <si>
    <t>(Dividends paid)</t>
  </si>
  <si>
    <t xml:space="preserve"> 7.34</t>
  </si>
  <si>
    <t>Cash proceeds from the issuance of subordinated liabilities</t>
  </si>
  <si>
    <t xml:space="preserve"> 7.17 c</t>
  </si>
  <si>
    <t>(Cash repayments of subordinated liabilities)</t>
  </si>
  <si>
    <t xml:space="preserve"> 7.17 d</t>
  </si>
  <si>
    <t>(Cash payments to redeem shares or other equity instruments</t>
  </si>
  <si>
    <t>7.17 b</t>
  </si>
  <si>
    <t>Cash proceeds from issuing shares or other equity instruments</t>
  </si>
  <si>
    <t xml:space="preserve"> 7.17 a</t>
  </si>
  <si>
    <t>(Cash payments to acquire treasury shares)</t>
  </si>
  <si>
    <t xml:space="preserve"> 7.17 b</t>
  </si>
  <si>
    <t>Cash proceeds from the sale of treasury shares</t>
  </si>
  <si>
    <t>Other cash proceeds related to financing activities</t>
  </si>
  <si>
    <t xml:space="preserve"> 7.17</t>
  </si>
  <si>
    <t>(Other cash payments related to financing activities)</t>
  </si>
  <si>
    <t>Net cash flow from financing activities</t>
  </si>
  <si>
    <t>Increase (decrease) in other financial liabilities</t>
  </si>
  <si>
    <t>Fair value of investments in associates for which there are published price quotations                28.37 (a)</t>
  </si>
  <si>
    <t>Reporting date     28.37 (e)</t>
  </si>
  <si>
    <t>Accumulated equity interest (%)</t>
  </si>
  <si>
    <t>28.0/7140/015 = 28.0/7140/005 - 28.0/7140/010</t>
  </si>
  <si>
    <t>28.0/7999/015 = 28.0/7999/005 - 28.0/7999/010</t>
  </si>
  <si>
    <t>2.0/7152/005 = 28.0/7100/015</t>
  </si>
  <si>
    <t>2.0/7154/005 = 28.0/7110/015</t>
  </si>
  <si>
    <t>2.0/7156/005 = 28.0/7120/015</t>
  </si>
  <si>
    <t>2.0/7158/005 = 28.0/7130/015</t>
  </si>
  <si>
    <t>2.0/7159/005 = 28.0/7140/015</t>
  </si>
  <si>
    <t>2.0/7150/005 = 28.0/7999/015</t>
  </si>
  <si>
    <t>29.0/7120/005 = Sum column 29.0/7100/005 through 29.0/7110/005</t>
  </si>
  <si>
    <t>29.0/7120/010 = Sum column 29.0/7100/010 through 29.0/7110/010</t>
  </si>
  <si>
    <t>29.0/7120/015 = Sum column 29.0/7100/015 through 29.0/7110/015</t>
  </si>
  <si>
    <t>29.0/7100/015 = 29.0/7100/005 - 29.0/7100/010</t>
  </si>
  <si>
    <t>29.0/7110/015 = 29.0/7110/005 - 29.0/7110/010</t>
  </si>
  <si>
    <t>29.0/7120/015 = 29.0/7120/005 - 29.0/7120/010</t>
  </si>
  <si>
    <t>29.0/7120/015 = 2.0/7170/005</t>
  </si>
  <si>
    <t>30.0/7999/005 = 30.0/7100/005 + 30.0/7140/005 + 30.0/7160/005 + 30.0/7170/005 + 30.0/7210/005 + 30.0/7220/005</t>
  </si>
  <si>
    <t>30.0/7999/010 = 30.0/7100/010 + 30.0/7140/010 + 30.0/7160/010 + 30.0/7170/010 + 30.0/7210/010 + 30.0/7220/010</t>
  </si>
  <si>
    <t>30.0/7999/015 = 30.0/7100/015 + 30.0/7140/015 + 30.0/7160/015 + 30.0/7170/015 + 30.0/7210/015 + 30.0/7220/015</t>
  </si>
  <si>
    <t>30.0/7100/005 = 30.0/7110/005 + 30.0/7120/005</t>
  </si>
  <si>
    <t>30.0/7100/010 = 30.0/7110/010 + 30.0/7120/010</t>
  </si>
  <si>
    <t>30.0/7100/015 = 30.0/7110/015 + 30.0/7120/015</t>
  </si>
  <si>
    <t>30.0/7170/005 = 30.0/7180/005 + 30.0/7190/005</t>
  </si>
  <si>
    <t>30.0/7170/010 = 30.0/7180/010 + 30.0/7190/010</t>
  </si>
  <si>
    <t>30.0/7170/015 = 30.0/7180/015 + 30.0/7190/015</t>
  </si>
  <si>
    <t>30.0/7100/015 = 30.0/7100/005 - 30.0/7100/010</t>
  </si>
  <si>
    <t>30.0/7110/015 = 30.0/7110/005 - 30.0/7110/010</t>
  </si>
  <si>
    <t>30.0/7120/015 = 30.0/7120/005 - 30.0/7120/010</t>
  </si>
  <si>
    <t>30.0/7140/015 = 30.0/7140/005 - 30.0/7140/010</t>
  </si>
  <si>
    <t>30.0/7160/015 = 30.0/7160/005 - 30.0/7160/010</t>
  </si>
  <si>
    <t>30.0/7170/015 = 30.0/7170/005 - 30.0/7170/010</t>
  </si>
  <si>
    <t>30.0/7180/015 = 30.0/7180/005 - 30.0/7180/010</t>
  </si>
  <si>
    <t>30.0/7190/015 = 30.0/7190/005 - 30.0/7190/010</t>
  </si>
  <si>
    <t>30.0/7210/015 = 30.0/7210/005 - 30.0/7210/010</t>
  </si>
  <si>
    <t>30.0/7220/015 = 30.0/7220/005 - 30.0/7220/010</t>
  </si>
  <si>
    <t>30.0/7999/015 = 30.0/7999/005 - 30.0/7999/010</t>
  </si>
  <si>
    <t>2.0/7180/005 = 30.0/7999/015</t>
  </si>
  <si>
    <t>31.0/7999/005 = Sum column 31.0/7100/005 through 31.0/7130/005</t>
  </si>
  <si>
    <t>Cash and cash balances with central banks</t>
  </si>
  <si>
    <t>CP</t>
  </si>
  <si>
    <t xml:space="preserve">Financial assets held for trading </t>
  </si>
  <si>
    <t>IFRS 7.8(a)(ii); 39.9</t>
  </si>
  <si>
    <t>Non-cash financing and investing activities</t>
  </si>
  <si>
    <t xml:space="preserve"> 7.44</t>
  </si>
  <si>
    <t>1.1    Consolidated Balance Sheet Statement – Assets</t>
  </si>
  <si>
    <t>1.2    Consolidated Balance Sheet Statement – Liabilities</t>
  </si>
  <si>
    <r>
      <t xml:space="preserve">Deposits from </t>
    </r>
    <r>
      <rPr>
        <i/>
        <sz val="11"/>
        <rFont val="Times New Roman"/>
        <family val="1"/>
      </rPr>
      <t>Credit institutions</t>
    </r>
  </si>
  <si>
    <r>
      <t xml:space="preserve">Deposits from </t>
    </r>
    <r>
      <rPr>
        <i/>
        <sz val="11"/>
        <rFont val="Times New Roman"/>
        <family val="1"/>
      </rPr>
      <t>Other than credit institutions</t>
    </r>
  </si>
  <si>
    <r>
      <t>Cash</t>
    </r>
    <r>
      <rPr>
        <i/>
        <sz val="11"/>
        <rFont val="Times New Roman"/>
        <family val="1"/>
      </rPr>
      <t xml:space="preserve"> &amp; cash balances with central banks</t>
    </r>
  </si>
  <si>
    <r>
      <t>Available</t>
    </r>
    <r>
      <rPr>
        <i/>
        <sz val="11"/>
        <rFont val="Times New Roman"/>
        <family val="1"/>
      </rPr>
      <t>-for-sale financial assets</t>
    </r>
  </si>
  <si>
    <r>
      <t>IFRS 7.20 (a) (ii)</t>
    </r>
    <r>
      <rPr>
        <i/>
        <sz val="11"/>
        <rFont val="Times New Roman"/>
        <family val="1"/>
      </rPr>
      <t>;  39.55 (b)</t>
    </r>
  </si>
  <si>
    <r>
      <t>IFRS 7.20(a)(iv)</t>
    </r>
    <r>
      <rPr>
        <i/>
        <sz val="11"/>
        <rFont val="Times New Roman"/>
        <family val="1"/>
      </rPr>
      <t xml:space="preserve"> ; 39.9</t>
    </r>
  </si>
  <si>
    <r>
      <t>IFRS 7.20(a()iii)</t>
    </r>
    <r>
      <rPr>
        <i/>
        <sz val="11"/>
        <rFont val="Times New Roman"/>
        <family val="1"/>
      </rPr>
      <t>; 39.9</t>
    </r>
  </si>
  <si>
    <r>
      <t>IFRS 7.20(a)(v)</t>
    </r>
    <r>
      <rPr>
        <i/>
        <sz val="11"/>
        <rFont val="Times New Roman"/>
        <family val="1"/>
      </rPr>
      <t xml:space="preserve"> ;  39.9</t>
    </r>
  </si>
  <si>
    <t>Acquisition of assets by assuming directly related liabilities or by means of a finance lease</t>
  </si>
  <si>
    <t xml:space="preserve"> 7.44 a</t>
  </si>
  <si>
    <t>Acquisition of an enterprise by means of an equity issue</t>
  </si>
  <si>
    <t xml:space="preserve"> 7.44 b</t>
  </si>
  <si>
    <t>Conversion of debt to equity</t>
  </si>
  <si>
    <t xml:space="preserve"> 7.44 c</t>
  </si>
  <si>
    <t>Other Equity</t>
  </si>
  <si>
    <t>Revaluation reserves and other valuation differences on</t>
  </si>
  <si>
    <t>Sources of equity changes</t>
  </si>
  <si>
    <t xml:space="preserve"> 1.75 (e)</t>
  </si>
  <si>
    <t xml:space="preserve">Unpaid capital which has been called up </t>
  </si>
  <si>
    <t xml:space="preserve"> 32.28;  32 AG 27 (a)</t>
  </si>
  <si>
    <t>Other equity instruments</t>
  </si>
  <si>
    <t xml:space="preserve"> 16.39-40</t>
  </si>
  <si>
    <t>Hedge of net investments in foreign operations (eff. port.)</t>
  </si>
  <si>
    <t xml:space="preserve"> 39.102 (a)</t>
  </si>
  <si>
    <t>Foreign currency translation</t>
  </si>
  <si>
    <t xml:space="preserve"> 21.52 (b)</t>
  </si>
  <si>
    <t>Cash flow hedges (eff. port.)</t>
  </si>
  <si>
    <t>IFRS 7.23 (c);  39.95-96</t>
  </si>
  <si>
    <t>IFRS 5.18-19 and 38</t>
  </si>
  <si>
    <t>(Treasury shares)</t>
  </si>
  <si>
    <t xml:space="preserve"> 32.33-34</t>
  </si>
  <si>
    <t>Effects of corrections of errors recognised in accordance with IAS 8</t>
  </si>
  <si>
    <t xml:space="preserve"> 1.96 (d);  8.42</t>
  </si>
  <si>
    <t>Effects of changes in accounting policies recognised in accordance with IAS 8</t>
  </si>
  <si>
    <t>1.100;  8.22</t>
  </si>
  <si>
    <t>Equity Increase (Decrease) Resulting from Business Combination</t>
  </si>
  <si>
    <t xml:space="preserve"> 1.97 (a) </t>
  </si>
  <si>
    <t>Issuance of Ordinary Shares</t>
  </si>
  <si>
    <t>Issuance of Preference Shares</t>
  </si>
  <si>
    <t>Issuance of Warrants for Consideration</t>
  </si>
  <si>
    <t>Issuance of Options for Consideration</t>
  </si>
  <si>
    <t>Exercise of Options, Rights or Warrants</t>
  </si>
  <si>
    <t>Expiration of Options or Warrants</t>
  </si>
  <si>
    <t xml:space="preserve"> 1.81 (f );  1.96 (a);  1.97 (b)</t>
  </si>
  <si>
    <t xml:space="preserve"> 1.97 ;  32.33 </t>
  </si>
  <si>
    <t>Purchase of Treasury Shares</t>
  </si>
  <si>
    <t xml:space="preserve"> 32.33 ;  1.97 </t>
  </si>
  <si>
    <t>Sale of Treasury Shares</t>
  </si>
  <si>
    <t xml:space="preserve"> 1.97 </t>
  </si>
  <si>
    <t>Transfers of Treasury Shares</t>
  </si>
  <si>
    <t>(11.A/7110/005  or 11.A/7110/010) and (11.A/7110/015) both exist or neither</t>
  </si>
  <si>
    <t>(11.A/7115/005  or 11.A/7115/010) and (11.A/7115/015) both exist or neither</t>
  </si>
  <si>
    <t>(11.A/7120/005  or 11.A/7120/010) and (11.A/7120/015) both exist or neither</t>
  </si>
  <si>
    <t>(11.A/7125/005  or 11.A/7125/010) and (11.A/7125/015) both exist or neither</t>
  </si>
  <si>
    <t>(11.A/7130/005  or 11.A/7130/010) and (11.A/7130/015) both exist or neither</t>
  </si>
  <si>
    <t>(11.A/7135/005  or 11.A/7135/010) and (11.A/7135/015) both exist or neither</t>
  </si>
  <si>
    <t>(11.A/7140/005  or 11.A/7140/010) and (11.A/7140/015) both exist or neither</t>
  </si>
  <si>
    <t>(11.A/7145/005  or 11.A/7145/010) and (11.A/7145/015) both exist or neither</t>
  </si>
  <si>
    <t>(11.A/7150/005  or 11.A/7150/010) and (11.A/7150/015) both exist or neither</t>
  </si>
  <si>
    <t>(11.A/7155/005  or 11.A/7155/010) and (11.A/7155/015) both exist or neither</t>
  </si>
  <si>
    <t>(11.A/7160/005  or 11.A/7160/010) and (11.A/7160/015) both exist or neither</t>
  </si>
  <si>
    <t>Recognised or disclosed fair values                                 IFRS 7.25-26</t>
  </si>
  <si>
    <t>Investments in associates, [subsidiaries] and joint ventures (accounted for using the equity method- including goodwill)</t>
  </si>
  <si>
    <t>Share of the profit or loss of associates, [subsidiaries] and joint ventures accounted for using the equity method</t>
  </si>
  <si>
    <t xml:space="preserve">     Bills &amp; own acceptances</t>
  </si>
  <si>
    <t xml:space="preserve">     Finance leases</t>
  </si>
  <si>
    <t xml:space="preserve">    Securitized loans</t>
  </si>
  <si>
    <t xml:space="preserve">    Consumer Credit</t>
  </si>
  <si>
    <t xml:space="preserve">    Mortgage loans</t>
  </si>
  <si>
    <t xml:space="preserve">   Term loans</t>
  </si>
  <si>
    <t xml:space="preserve">   Current accounts</t>
  </si>
  <si>
    <t xml:space="preserve">   Other</t>
  </si>
  <si>
    <t>Investments in [subsidiaries], joint ventures and associates</t>
  </si>
  <si>
    <t>Investments in associates, [subsidiaries] and joint ventures accounted for using the equity method (inclusive goodwill on equity method)</t>
  </si>
  <si>
    <t>IFRS 7.8 (f)</t>
  </si>
  <si>
    <t>Of which: Property occupied or other assets used by the entity</t>
  </si>
  <si>
    <t>Of which: Financial instruments issued by the entity</t>
  </si>
  <si>
    <t xml:space="preserve">Of which determined using valuation technique not based on market data                               IFRS 7.27 (c) </t>
  </si>
  <si>
    <r>
      <t>For the lessee</t>
    </r>
    <r>
      <rPr>
        <i/>
        <sz val="11"/>
        <rFont val="Times New Roman"/>
        <family val="1"/>
      </rPr>
      <t xml:space="preserve">                                      Total future minimum lease payments</t>
    </r>
  </si>
  <si>
    <r>
      <t xml:space="preserve">For the lessee </t>
    </r>
    <r>
      <rPr>
        <i/>
        <sz val="11"/>
        <rFont val="Times New Roman"/>
        <family val="1"/>
      </rPr>
      <t xml:space="preserve">                                                     Net present value of the total future minimum lease payments</t>
    </r>
  </si>
  <si>
    <r>
      <t>For the lessee</t>
    </r>
    <r>
      <rPr>
        <i/>
        <sz val="11"/>
        <rFont val="Times New Roman"/>
        <family val="1"/>
      </rPr>
      <t xml:space="preserve">                                                                   Future minimum sublease payments expected to be received under non-cancelable subleases</t>
    </r>
  </si>
  <si>
    <r>
      <t xml:space="preserve">For the lessee                                                       </t>
    </r>
    <r>
      <rPr>
        <i/>
        <sz val="11"/>
        <rFont val="Times New Roman"/>
        <family val="1"/>
      </rPr>
      <t>Contingent rents recognized in income</t>
    </r>
  </si>
  <si>
    <r>
      <t xml:space="preserve">For the lessee               </t>
    </r>
    <r>
      <rPr>
        <i/>
        <sz val="11"/>
        <rFont val="Times New Roman"/>
        <family val="1"/>
      </rPr>
      <t xml:space="preserve">                                 Net carrying amount</t>
    </r>
  </si>
  <si>
    <t>TOTAL NOMINAL AMOUNT</t>
  </si>
  <si>
    <r>
      <t xml:space="preserve">For the lessor </t>
    </r>
    <r>
      <rPr>
        <sz val="11"/>
        <rFont val="Times New Roman"/>
        <family val="1"/>
      </rPr>
      <t>Residual maturity</t>
    </r>
  </si>
  <si>
    <r>
      <t xml:space="preserve">For the lessor </t>
    </r>
    <r>
      <rPr>
        <sz val="11"/>
        <rFont val="Times New Roman"/>
        <family val="1"/>
      </rPr>
      <t xml:space="preserve">                                    Future minimum lease payments under non-cancelable operating leases</t>
    </r>
  </si>
  <si>
    <r>
      <t xml:space="preserve">For the lessor                                  </t>
    </r>
    <r>
      <rPr>
        <sz val="11"/>
        <rFont val="Times New Roman"/>
        <family val="1"/>
      </rPr>
      <t>Contingent rents recognized in income</t>
    </r>
  </si>
  <si>
    <r>
      <t xml:space="preserve">For the lessor  </t>
    </r>
    <r>
      <rPr>
        <i/>
        <sz val="11"/>
        <rFont val="Times New Roman"/>
        <family val="1"/>
      </rPr>
      <t xml:space="preserve">                           Total gross investment</t>
    </r>
  </si>
  <si>
    <t>Income tax relating to components of other recognised income and expense</t>
  </si>
  <si>
    <t>TOTAL RECOGNISED INCOME AND EXPENSE FOR THE YEAR</t>
  </si>
  <si>
    <t>If 8.A/7170/010 exists then 8.A/7170/015 or 8.A/7170/020 must exist</t>
  </si>
  <si>
    <t>If 8.A/7180/010 exists then 8.A/7180/015 or 8.A/7180/020 must exist</t>
  </si>
  <si>
    <t>If 8.A/7190/010 exists then 8.A/7190/015 or 8.A/7190/020 must exist</t>
  </si>
  <si>
    <t>If 8.A/7200/010 exists then 8.A/7200/015 or 8.A/7200/020 must exist</t>
  </si>
  <si>
    <t>If 8.A/7210/010 exists then 8.A/7210/015 or 8.A/7210/020 must exist</t>
  </si>
  <si>
    <t>If 8.A/7299/010 exists then 8.A/7299/015 or 8.A/7299/020 must exist</t>
  </si>
  <si>
    <t>8.A/7170/025 = 8.C/7399/045</t>
  </si>
  <si>
    <t>8.A/7190/025 = 8.C/7399/050</t>
  </si>
  <si>
    <t>8.A/7200/025 = 8.C/7399/055</t>
  </si>
  <si>
    <t>8.A/7210/025 = 8.C/7399/060</t>
  </si>
  <si>
    <t>8.A/7100/005 = Sum column 8.A/7110/005 through 8.A/7150/005</t>
  </si>
  <si>
    <t>8.A/7160/005 = sum column 8.A/7170/005 through 8.A/7210/005</t>
  </si>
  <si>
    <t>8.A/7299/005 = 8.A/7100/005 + 8.A/7160/005</t>
  </si>
  <si>
    <t>8.A/7100/010 = Sum column 8.A/7110/010 through 8.A/7150/010</t>
  </si>
  <si>
    <t>8.A/7160/010 = sum column 8.A/7170/010 through 8.A/7210/010</t>
  </si>
  <si>
    <t>8.A/7299/010 = 8.A/7100/010 + 8.A/7160/010</t>
  </si>
  <si>
    <t>8.A/7100/015 = Sum column 8.A/7110/015 through 8.A/7150/015</t>
  </si>
  <si>
    <t>8.A/7160/015 = sum column 8.A/7170/015 through 8.A/7210/015</t>
  </si>
  <si>
    <t>8.A/7299/015 = 8.A/7100/015 + 8.A/7160/015</t>
  </si>
  <si>
    <t>8.A/7100/020 = Sum column 8.A/7110/020 through 8.A/7150/020</t>
  </si>
  <si>
    <t>8.A/7160/020 = sum column 8.A/7170/020 through 8.A/7210/020</t>
  </si>
  <si>
    <t>8.A/7299/020 = 8.A/7100/020 + 8.A/7160/020</t>
  </si>
  <si>
    <t>8.A/7100/025 = Sum column 8.A/7110/025 through 8.A/7150/025</t>
  </si>
  <si>
    <t>8.A/7160/025 = sum column 8.A/7170/025 through 8.A/7210/025</t>
  </si>
  <si>
    <t>8.B/7299/030 = 8.B/7100/030 + 8.B/7160/030</t>
  </si>
  <si>
    <t>Liabilities included in disposal groups classified as held for sale</t>
  </si>
  <si>
    <t>1.68A(b) &amp; IFRS 5.38</t>
  </si>
  <si>
    <t>TOTAL LIABILITIES</t>
  </si>
  <si>
    <t>Issued capital</t>
  </si>
  <si>
    <t>1.68(p)</t>
  </si>
  <si>
    <t>Paid in capital</t>
  </si>
  <si>
    <t>1.75(e)</t>
  </si>
  <si>
    <t>Unpaid capital which has been called up</t>
  </si>
  <si>
    <t>Share premium</t>
  </si>
  <si>
    <t xml:space="preserve">Other Equity </t>
  </si>
  <si>
    <t>22.A/7300/025 = Sum row 22.B/7300/035 through 22.B/7300/045</t>
  </si>
  <si>
    <t>22.A/7310/025 = Sum row 22.B/7310/035 through 22.B/7310/045</t>
  </si>
  <si>
    <t>22.A/7320/025 = Sum row 22.B/7320/035 through 22.B/7320/045</t>
  </si>
  <si>
    <t>22.A/7330/025 = Sum row 22.B/7330/035 through 22.B/7330/045</t>
  </si>
  <si>
    <t>22.B/7100/035 = Sum column 22.B/7110/035 through 22.B/7140/035</t>
  </si>
  <si>
    <t>22.B/7150/035 = Sum column 22.B/7160/035 through 22.B/7190/035</t>
  </si>
  <si>
    <t>22.B/7150/040 = Sum column 22.B/7160/040 through 22.B/7190/040</t>
  </si>
  <si>
    <t>22.B/7190/035 = Sum column 22.B/7200/035 through 22.B/7240/035</t>
  </si>
  <si>
    <t>22.B/7190/040 = Sum column 22.B/7200/040 through 22.B/7240/040</t>
  </si>
  <si>
    <t>22.B/7190/045 = Sum column 22.B/7200/045 through 22.B/7240/045</t>
  </si>
  <si>
    <t>22.B/7250/035 = 22.B/7260/035 + 22.B/7270/035 + 22.B/7280/035 + 22.B/7310/035</t>
  </si>
  <si>
    <t>22.B/7250/040 = 22.B/7260/040 + 22.B/7270/040 + 22.B/7280/040 + 22.B/7310/040</t>
  </si>
  <si>
    <t>22.B/7250/045 = 22.B/7260/045 + 22.B/7270/045 + 22.B/7280/045 + 22.B/7310/045</t>
  </si>
  <si>
    <t>22.B/7280/035 = 22.B/7290/035 + 22.B/7300/035</t>
  </si>
  <si>
    <t>22.B/7280/040 = 22.B/7290/040 + 22.B/7300/040</t>
  </si>
  <si>
    <t>22.B/7280/045 = 22.B/7290/045 + 22.B/7300/045</t>
  </si>
  <si>
    <t>22.B/7999/035 = 22.B/7100/035 + 22.B/7150/035 + 22.B/7250/035 + 22.B/7320/035 + 22.B/7330/035</t>
  </si>
  <si>
    <t>22.B/7999/040 = 22.B/7100/040 + 22.B/7150/040 + 22.B/7250/040 + 22.B/7320/040 + 22.B/7330/040</t>
  </si>
  <si>
    <t>22.B/7999/045 = 22.B/7100/045 + 22.B/7150/045 + 22.B/7250/045 + 22.B/7320/045 + 22.B/7330/045</t>
  </si>
  <si>
    <t xml:space="preserve">  Issuance of Share Dividends</t>
  </si>
  <si>
    <t xml:space="preserve">  Issuance of Non-Cash Dividends</t>
  </si>
  <si>
    <t xml:space="preserve">  Issuance of Bonus Shares</t>
  </si>
  <si>
    <t xml:space="preserve">  Cash Dividends Declared</t>
  </si>
  <si>
    <t xml:space="preserve">  Interim Dividends</t>
  </si>
  <si>
    <t xml:space="preserve">  Released to Retained Earnings</t>
  </si>
  <si>
    <t>Accrued expenses (if accounted for separately)</t>
  </si>
  <si>
    <t>Increase (decrease) in deposits from credit institutions</t>
  </si>
  <si>
    <t>Increase (decrease) in deposits (other than credit institutions)</t>
  </si>
  <si>
    <t>Increase (decrease) in debt certificates (including bonds)</t>
  </si>
  <si>
    <t>IAS 19.96/120A (f) (ii)</t>
  </si>
  <si>
    <t xml:space="preserve">  Reclassification of Financial Instruments from Liability to Equity</t>
  </si>
  <si>
    <t>CHANGES IN EQUITY RELATING TO PRIOR PERIODS</t>
  </si>
  <si>
    <t>Effects of corrections of errors</t>
  </si>
  <si>
    <t>3.       Tax effect of non taxable revenues</t>
  </si>
  <si>
    <t>4.       Tax effect of non tax deductible expenses</t>
  </si>
  <si>
    <t>5.       Tax effect of utilisation of previously unrecognised tax losses</t>
  </si>
  <si>
    <t>6.       Tax effect on tax benefit not previously recognised in profit or loss</t>
  </si>
  <si>
    <t>abc</t>
  </si>
  <si>
    <t xml:space="preserve">Reserves (including retained earnings) </t>
  </si>
  <si>
    <t xml:space="preserve">(Treasury shares) </t>
  </si>
  <si>
    <t xml:space="preserve">Income from current year  </t>
  </si>
  <si>
    <t>2.3. ( - ) Expected return on plan assets</t>
  </si>
  <si>
    <t>2.5. Net actuarial loss (gain) recognised</t>
  </si>
  <si>
    <t>2.6. Past service cost</t>
  </si>
  <si>
    <t>Adjustments directly related to the disposal of a discontinued operation in a prior period</t>
  </si>
  <si>
    <t>IFRS 5.35</t>
  </si>
  <si>
    <t>Pre-tax gain or loss  on measurement to FV less costs to sell  or on disposal of the assets (IFRS 5.15)</t>
  </si>
  <si>
    <t>IFRS 5.33 biii</t>
  </si>
  <si>
    <t>IFRS 5.33 b iv</t>
  </si>
  <si>
    <t xml:space="preserve">Post-tax gain or loss recognized on the measurement to FV less costs to sell or on the disposal of the assets or disposal groups constituting the discontinued operation </t>
  </si>
  <si>
    <t>IFRS 5.33(a)ii</t>
  </si>
  <si>
    <t>total B</t>
  </si>
  <si>
    <t>Profit or loss after tax from discontinued operations</t>
  </si>
  <si>
    <t>1.81e</t>
  </si>
  <si>
    <t>Total      IFRS 7.13 (c-d)</t>
  </si>
  <si>
    <t>002</t>
  </si>
  <si>
    <t xml:space="preserve">24 Derecognition and financial liabilities associated with transferred financial assets  </t>
  </si>
  <si>
    <t>Restructuring</t>
  </si>
  <si>
    <t>Provisions for Tax litigation</t>
  </si>
  <si>
    <t xml:space="preserve">Pending legal issues </t>
  </si>
  <si>
    <t>Pensions and other post retirement benefit obligations</t>
  </si>
  <si>
    <t>Other provisions.</t>
  </si>
  <si>
    <t>37.72</t>
  </si>
  <si>
    <t xml:space="preserve">37 Appendix C n° 6/10 </t>
  </si>
  <si>
    <t>37 Appendix C n° 9</t>
  </si>
  <si>
    <t>37 Appendix C n° 8</t>
  </si>
  <si>
    <t>37.84 (a)</t>
  </si>
  <si>
    <t>37.84 (b)</t>
  </si>
  <si>
    <t>Amounts used</t>
  </si>
  <si>
    <t>37.84 (c)</t>
  </si>
  <si>
    <t>Unused amounts reversed during the period</t>
  </si>
  <si>
    <t>37.84 (d)</t>
  </si>
  <si>
    <t>Loans and receivables measured at amortized cost (including finance leases)</t>
  </si>
  <si>
    <t>Held to maturity investments  measured at amortized cost</t>
  </si>
  <si>
    <t xml:space="preserve">Code </t>
  </si>
  <si>
    <t>Residual Maturity</t>
  </si>
  <si>
    <t>17.56a</t>
  </si>
  <si>
    <t>17.56b</t>
  </si>
  <si>
    <t xml:space="preserve"> &gt;1 year ≤ 5 years</t>
  </si>
  <si>
    <t>Table C: assets of a lessor subject to operating lease</t>
  </si>
  <si>
    <t>060</t>
  </si>
  <si>
    <t>17.47a-e</t>
  </si>
  <si>
    <t>Table D: Disclosures finance lease – lessor</t>
  </si>
  <si>
    <t>065</t>
  </si>
  <si>
    <t>070</t>
  </si>
  <si>
    <t>075</t>
  </si>
  <si>
    <t>080</t>
  </si>
  <si>
    <t>085</t>
  </si>
  <si>
    <t>090</t>
  </si>
  <si>
    <t>Equity instru-ments</t>
  </si>
  <si>
    <t>Debt instru-ments</t>
  </si>
  <si>
    <t>Loans &amp; receivables (including finances leases)</t>
  </si>
  <si>
    <t>Table A (transferor)</t>
  </si>
  <si>
    <t>total A</t>
  </si>
  <si>
    <t>Gain or loss on the measurement to FV less costs to sell</t>
  </si>
  <si>
    <t>Gain or loss on the disposal of the assets or the disposal groups constituting the discontinued operation</t>
  </si>
  <si>
    <t>Financial assets designated at fair value through profit or loss</t>
  </si>
  <si>
    <t>IFRS 7.8(a)(i); 39.9</t>
  </si>
  <si>
    <t>EUR</t>
  </si>
  <si>
    <t>Jur2</t>
  </si>
  <si>
    <t>USD</t>
  </si>
  <si>
    <t>Jur3</t>
  </si>
  <si>
    <t>ABC</t>
  </si>
  <si>
    <t>MNO</t>
  </si>
  <si>
    <t>XYZ</t>
  </si>
  <si>
    <t>WXY</t>
  </si>
  <si>
    <t>XXX</t>
  </si>
  <si>
    <t>KLM</t>
  </si>
  <si>
    <t>text</t>
  </si>
  <si>
    <t>Jur4</t>
  </si>
  <si>
    <t>Nature of risks and rewards to which the bank remains exposed  IFRS 7.13(b)</t>
  </si>
  <si>
    <t>Amounts derecognized for capital purposes  (art. 94 CRD)      CRD Art 94</t>
  </si>
  <si>
    <t>Nature of the assets                    IFRS 7.13(a)</t>
  </si>
  <si>
    <t>Associated liability          39.31              IFRS 7.13 (c-d)</t>
  </si>
  <si>
    <t>Part of the asset still recognized (continuing involvement) 39.30        IFRS 7.13(d)</t>
  </si>
  <si>
    <t xml:space="preserve"> 32.59 (b) </t>
  </si>
  <si>
    <t>Cash Flow Hedge Gains (Losses) Transferred to Income</t>
  </si>
  <si>
    <t xml:space="preserve"> 32.59 (c) </t>
  </si>
  <si>
    <t>Cash Flow Hedge Gains (Losses) Transferred to Inventory</t>
  </si>
  <si>
    <t xml:space="preserve">Interest rate instruments and related derivatives </t>
  </si>
  <si>
    <t>Foreign exchange trading</t>
  </si>
  <si>
    <t>Credit risk instruments and related derivatives</t>
  </si>
  <si>
    <t>Commodities and related derivatives</t>
  </si>
  <si>
    <t>Other (including hybrid derivatives)</t>
  </si>
  <si>
    <t>Gains (losses) on financial assets and liabilities designated at fair value through profit or loss (net)</t>
  </si>
  <si>
    <t xml:space="preserve"> IFRS 7.20(a)(i) ; 39.55(a)</t>
  </si>
  <si>
    <t>37 Information on credit risk and impairment</t>
  </si>
  <si>
    <t>Table B : Allowances movements for credit losses</t>
  </si>
  <si>
    <t>Specific allowances for individually assessed financial assets 39 AG 84-92; IFRS 7.37 (b)</t>
  </si>
  <si>
    <t>Specific allowances for collectively assessed financial assets 39 AG 84-92</t>
  </si>
  <si>
    <t>1.1.2. ( - ) Fair value, defined benefit plan assets</t>
  </si>
  <si>
    <t>1.2. Present value of wholly unfunded defined benefit obligations</t>
  </si>
  <si>
    <t>1.3. Unrecognised actuarial gains (losses)</t>
  </si>
  <si>
    <t xml:space="preserve">1.4. Unrecognised past service cost </t>
  </si>
  <si>
    <t>Defined benefit plan obligation (asset), total</t>
  </si>
  <si>
    <t>Opening balance (Current year)</t>
  </si>
  <si>
    <t>1.74</t>
  </si>
  <si>
    <t>Non-current assets and disposal groups classified as held for sale</t>
  </si>
  <si>
    <t>1.68A; IFRS 5.38</t>
  </si>
  <si>
    <t>TOTAL ASSETS</t>
  </si>
  <si>
    <t>Code</t>
  </si>
  <si>
    <t>005</t>
  </si>
  <si>
    <t>010</t>
  </si>
  <si>
    <t>015</t>
  </si>
  <si>
    <t>020</t>
  </si>
  <si>
    <t>Deposits from central banks</t>
  </si>
  <si>
    <t xml:space="preserve">Amount of the change in the period in the fair value of a loan or receivable attributable to changes in the credit risk of the financial asset </t>
  </si>
  <si>
    <t xml:space="preserve">Amount of cumulative change in the fair value of any related credit derivatives since designated </t>
  </si>
  <si>
    <t>IFRS 7.9</t>
  </si>
  <si>
    <t>IFRS 7.9 (b)</t>
  </si>
  <si>
    <t>1.1/7140/005 = 1.1/7140/010 + 1.1/7140/015 + 1.1/7140/020</t>
  </si>
  <si>
    <t>1.1/7150/005 = 1.1/7150/010 + 1.1/7150/015 + 1.1/7150/020</t>
  </si>
  <si>
    <t>1.1/7160/005 = 1.1/7160/010 + 1.1/7160/015 + 1.1/7160/020</t>
  </si>
  <si>
    <t>1.1/7170/005 = 1.1/7170/010 + 1.1/7170/015 + 1.1/7170/020</t>
  </si>
  <si>
    <t>1.1/7190/005 = 1.1/7190/010 + 1.1/7190/015 + 1.1/7190/020</t>
  </si>
  <si>
    <t>1.1/7200/005 = 1.1/7200/010 + 1.1/7200/015 + 1.1/7200/020</t>
  </si>
  <si>
    <t>1.1/7210/005 = 1.1/7210/010 + 1.1/7210/015 + 1.1/7210/020</t>
  </si>
  <si>
    <t>1.1/7220/005 = 1.1/7220/010 + 1.1/7220/015 + 1.1/7220/020</t>
  </si>
  <si>
    <t>1.1/7223/005 = 1.1/7223/010 + 1.1/7223/015 + 1.1/7223/020</t>
  </si>
  <si>
    <t>1.1/7225/005 = 1.1/7225/010 + 1.1/7225/015 + 1.1/7225/020</t>
  </si>
  <si>
    <t>1.1/7230/005 = 1.1/7230/010 + 1.1/7230/015 + 1.1/7230/020</t>
  </si>
  <si>
    <t>1.1/7240/005 = 1.1/7240/010 + 1.1/7240/015 + 1.1/7240/020</t>
  </si>
  <si>
    <t>1.1/7243/005 = 1.1/7243/010 + 1.1/7243/015 + 1.1/7243/020</t>
  </si>
  <si>
    <t>1.1/7247/005 = 1.1/7247/010 + 1.1/7247/015 + 1.1/7247/020</t>
  </si>
  <si>
    <t>1.1/7250/005 = 1.1/7250/010 + 1.1/7250/015 + 1.1/7250/020</t>
  </si>
  <si>
    <t>1.1/7260/005 = 1.1/7260/010 + 1.1/7260/015 + 1.1/7260/020</t>
  </si>
  <si>
    <t>1.1/7999/005 = 1.1/7999/010 + 1.1/7999/015 + 1.1/7999/020</t>
  </si>
  <si>
    <t>1.1/7220/005 = 1.1/7223/005 + 1.1/7225/005</t>
  </si>
  <si>
    <t>1.1/7220/010 = 1.1/7223/010 + 1.1/7225/010</t>
  </si>
  <si>
    <t>1.1/7220/015 = 1.1/7223/015 + 1.1/7225/015</t>
  </si>
  <si>
    <t>1.1/7220/020 = 1.1/7223/020 + 1.1/7225/020</t>
  </si>
  <si>
    <t>1.1/7240/005 = 1.1/7243/005 + 1.1/7247/005</t>
  </si>
  <si>
    <t>1.1/7240/010 = 1.1/7243/010 + 1.1/7247/010</t>
  </si>
  <si>
    <t>1.1/7240/015 = 1.1/7243/015 + 1.1/7247/015</t>
  </si>
  <si>
    <t>1.1/7240/020 = 1.1/7243/020 + 1.1/7247/020</t>
  </si>
  <si>
    <t>1.1/7999/005 = 1.2/7999/005 + 1.3/7899/005</t>
  </si>
  <si>
    <t>1.1/7160/005 = 11.A/7219/005 + 11.A/7399/005 + 11.B/7400/005 + 11.B/7410/005 +11.A/7500/005</t>
  </si>
  <si>
    <t>1.1/7190/005 = 1.1/7200/005 + 1.1/7210/005</t>
  </si>
  <si>
    <t>1.1/7190/010 = 1.1/7200/010 + 1.1/7210/010</t>
  </si>
  <si>
    <t>1.1/7190/015 = 1.1/7200/015 + 1.1/7210/015</t>
  </si>
  <si>
    <t>1.1/7190/020 = 1.1/7200/020 + 1.1/7210/020</t>
  </si>
  <si>
    <t>Assets</t>
  </si>
  <si>
    <t>Held for trading</t>
  </si>
  <si>
    <t>Designated at fair value through profit or loss</t>
  </si>
  <si>
    <t>Available for sale</t>
  </si>
  <si>
    <t>Loans and receivables</t>
  </si>
  <si>
    <t>Held to maturity</t>
  </si>
  <si>
    <t>TOTAL</t>
  </si>
  <si>
    <t>Balance sheet</t>
  </si>
  <si>
    <t>Impairment losses recognized or reversed directly in equity in accordance with IAS 36</t>
  </si>
  <si>
    <t>44.c/8550/100 = sum row 44.c/8550/005 through 44.c/8550/030 - 44.c/8550/035 + 44.c/8550/040 - 44.c/8550/045 + 44.c/8550/050</t>
  </si>
  <si>
    <t>44.c/8560/100 = sum row 44.c/8560/005 through 44.c/8560/030 - 44.c/8560/035 + 44.c/8560/040 - 44.c/8560/045 + 44.c/8560/050</t>
  </si>
  <si>
    <t>44.c/8570/100 = sum row 44.c/8570/005 through 44.c/8570/030 - 44.c/8570/035 + 44.c/8570/040 - 44.c/8570/045 + 44.c/8570/050</t>
  </si>
  <si>
    <t>44.c/8610/100 = sum row 44.c/8610/005 through 44.c/8610/030 - 44.c/8610/035 + 44.c/8610/040 - 44.c/8610/045 + 44.c/8610/050</t>
  </si>
  <si>
    <t>44.c/8620/100 = sum row 44.c/8620/005 through 44.c/8620/030 - 44.c/8620/035 + 44.c/8620/040 - 44.c/8620/045 + 44.c/8620/050</t>
  </si>
  <si>
    <t>44.c/8630/100 = sum row 44.c/8630/005 through 44.c/8630/030 - 44.c/8630/035 + 44.c/8630/040 - 44.c/8630/045 + 44.c/8630/050</t>
  </si>
  <si>
    <t>44.c/8640/100 = sum row 44.c/8640/005 through 44.c/8640/030 - 44.c/8640/035 + 44.c/8640/040 - 44.c/8640/045 + 44.c/8640/050</t>
  </si>
  <si>
    <t>44.c/8710/100 = sum row 44.c/8710/005 through 44.c/8710/030 - 44.c/8710/035 + 44.c/8710/040 - 44.c/8710/045 + 44.c/8710/050</t>
  </si>
  <si>
    <t>44.c/8720/100 = sum row 44.c/8720/005 through 44.c/8720/030 - 44.c/8720/035 + 44.c/8720/040 - 44.c/8720/045 + 44.c/8720/050</t>
  </si>
  <si>
    <t>44.c/8730/100 = sum row 44.c/8730/005 through 44.c/8730/030 - 44.c/8730/035 + 44.c/8730/040 - 44.c/8730/045 + 44.c/8730/050</t>
  </si>
  <si>
    <t>44.c/8740/100 = sum row 44.c/8740/005 through 44.c/8740/030 - 44.c/8740/035 + 44.c/8740/040 - 44.c/8740/045 + 44.c/8740/050</t>
  </si>
  <si>
    <t>44.c/8810/100 = sum row 44.c/8810/005 through 44.c/8810/030 - 44.c/8810/035 + 44.c/8810/040 - 44.c/8810/045 + 44.c/8810/050</t>
  </si>
  <si>
    <t>Recoveries directly recognized in profit or loss</t>
  </si>
  <si>
    <t>Table A : Overview of impairment (IFRS 7.20 (e))</t>
  </si>
  <si>
    <t>9.       Tax effect from under or over provisions in prior periods</t>
  </si>
  <si>
    <t>10.   Other increase (decrease) in statutory tax charge</t>
  </si>
  <si>
    <t>11.   Tax expense using effective rate</t>
  </si>
  <si>
    <t>Non current assets held for sale (IFRS 5.6)</t>
  </si>
  <si>
    <t>Disposal group of assets (IFRS 5.6)</t>
  </si>
  <si>
    <t>22.A/7190/010 = Sum column 22.A/7200/010 through 22.A/7240/010</t>
  </si>
  <si>
    <t>22.A/7190/015 = Sum column 22.A/7200/015 through 22.A/7240/015</t>
  </si>
  <si>
    <t>22.A/7190/020 = Sum column 22.A/7200/020 through 22.A/7240/020</t>
  </si>
  <si>
    <t>22.A/7190/025 = Sum column 22.A/7200/025 through 22.A/7240/025</t>
  </si>
  <si>
    <t>22.A/7150/005 = Sum column 22.A/7160/005 through 22.A/7190/005</t>
  </si>
  <si>
    <t>22.A/7150/010 = Sum column 22.A/7160/010 through 22.A/7190/010</t>
  </si>
  <si>
    <t>22.A/7150/015 = Sum column 22.A/7160/015 through 22.A/7190/015</t>
  </si>
  <si>
    <t>22.A/7150/020 = Sum column 22.A/7160/020 through 22.A/7190/020</t>
  </si>
  <si>
    <t>22.A/7150/025 = Sum column 22.A/7160/025 through 22.A/7190/025</t>
  </si>
  <si>
    <t>22.A/7280/025 = 22.A/7290/025 + 22.A/7300/025</t>
  </si>
  <si>
    <t>22.A/7250/025 = 22.A/7260/025 + 22.A/7270/025 + 22.A/7280/025 + 22.A/7310/025</t>
  </si>
  <si>
    <t>22.A/7999/025 = 1.2/7130/005</t>
  </si>
  <si>
    <t>22.A/7100/025 = Sum row 22.B/7100/035 through 22.B/7100/045</t>
  </si>
  <si>
    <t>22.A/7110/025 = Sum row 22.B/7110/035 through 22.B/7110/045</t>
  </si>
  <si>
    <t>22.A/7120/025 = Sum row 22.B/7120/035 through 22.B/7120/045</t>
  </si>
  <si>
    <t>22.A/7130/025 = Sum row 22.B/7130/035 through 22.B/7130/045</t>
  </si>
  <si>
    <t>22.A/7140/025 = Sum row 22.B/7140/035 through 22.B/7140/045</t>
  </si>
  <si>
    <t>22.A/7150/025 = Sum row 22.B/7150/035 through 22.B/7150/045</t>
  </si>
  <si>
    <t>22.A/7160/025 = Sum row 22.B/7160/035 through 22.B/7160/045</t>
  </si>
  <si>
    <t>22.A/7170/025 = Sum row 22.B/7170/035 through 22.B/7170/045</t>
  </si>
  <si>
    <t>Available-for-sale financial assets</t>
  </si>
  <si>
    <t>IFRS 7.8(d); 39.9</t>
  </si>
  <si>
    <t>Loans and receivables (including finance leases)</t>
  </si>
  <si>
    <t>IFRS 7.8(c); 39.9</t>
  </si>
  <si>
    <t xml:space="preserve">Held-to-maturity investments </t>
  </si>
  <si>
    <t>IFRS 7.8(b); 39.9</t>
  </si>
  <si>
    <t>Opening balance (current year)</t>
  </si>
  <si>
    <t>Issuance and redemption of equity instruments</t>
  </si>
  <si>
    <t xml:space="preserve">  Issuance of Ordinary Shares</t>
  </si>
  <si>
    <t xml:space="preserve">  Issuance of Preference Shares</t>
  </si>
  <si>
    <t xml:space="preserve">  Issuance of Warrants for consideration</t>
  </si>
  <si>
    <t xml:space="preserve">  Issuance of Options for Consideration</t>
  </si>
  <si>
    <t xml:space="preserve">  Expiration of Options or Warrants</t>
  </si>
  <si>
    <t xml:space="preserve">  Capital Reduction</t>
  </si>
  <si>
    <t>Allocation of profit</t>
  </si>
  <si>
    <t xml:space="preserve">Collateral and other credit enhancements received as security for the related impaired and past due assets IFRS 7.37 (c) </t>
  </si>
  <si>
    <t>IAS/IFRS References</t>
  </si>
  <si>
    <t>040</t>
  </si>
  <si>
    <t>By type of risk</t>
  </si>
  <si>
    <t>By instrument</t>
  </si>
  <si>
    <t>Notional amount</t>
  </si>
  <si>
    <t>Fair value hedges</t>
  </si>
  <si>
    <t>Option/Cap/Floor/Collar/Swaption</t>
  </si>
  <si>
    <t>Currency  (FX)</t>
  </si>
  <si>
    <t>Cash flow hedges</t>
  </si>
  <si>
    <t>045</t>
  </si>
  <si>
    <t>050</t>
  </si>
  <si>
    <t>055</t>
  </si>
  <si>
    <t>IAS/IFRS ref</t>
  </si>
  <si>
    <t>39.89A</t>
  </si>
  <si>
    <t>39 IG F6 1-3</t>
  </si>
  <si>
    <t>11a Derivatives - Hedge accounting</t>
  </si>
  <si>
    <t>11b Portfolio hedge of interest rate risk ( 39.89A)</t>
  </si>
  <si>
    <t>Code A</t>
  </si>
  <si>
    <t>Code B</t>
  </si>
  <si>
    <t>Carrying amount</t>
  </si>
  <si>
    <t>Financial assets held for trading</t>
  </si>
  <si>
    <t>Financial liabilities designated at fair value through profit or loss</t>
  </si>
  <si>
    <t xml:space="preserve">Owner-occupied land and building </t>
  </si>
  <si>
    <t>IT equipment</t>
  </si>
  <si>
    <t xml:space="preserve">Office equipment </t>
  </si>
  <si>
    <t>Other equipment (including cars)</t>
  </si>
  <si>
    <t>16.37(a)-(b)</t>
  </si>
  <si>
    <t>16.37(h)</t>
  </si>
  <si>
    <t>16.37(c)-(g)</t>
  </si>
  <si>
    <t xml:space="preserve">Opening balance </t>
  </si>
  <si>
    <t xml:space="preserve">16.73(d) </t>
  </si>
  <si>
    <t>Additions</t>
  </si>
  <si>
    <t>16.73(e) (i)</t>
  </si>
  <si>
    <t>Acquisition through business combinations</t>
  </si>
  <si>
    <t>16.73(e) (iii)</t>
  </si>
  <si>
    <t>Disposals</t>
  </si>
  <si>
    <t>16.73(e) (ii)</t>
  </si>
  <si>
    <t>Disposals through business combinations</t>
  </si>
  <si>
    <t>Increases and decreases from revaluations under 16.31/39/40.</t>
  </si>
  <si>
    <t>1.       Tax expense using statutory rate</t>
  </si>
  <si>
    <t>2.       Tax effect of rates in other jurisdictions</t>
  </si>
  <si>
    <t>1.1/7100/005 = 1.1/7100/010 + 1.1/7100/015 + 1.1/7100/020</t>
  </si>
  <si>
    <t>1.1/7110/005 = 1.1/7110/010 + 1.1/7110/015 + 1.1/7110/020</t>
  </si>
  <si>
    <t>1.1/7120/005 = 1.1/7120/010 + 1.1/7120/015 + 1.1/7120/020</t>
  </si>
  <si>
    <t>1.1/7130/005 = 1.1/7130/010 + 1.1/7130/015 + 1.1/7130/020</t>
  </si>
  <si>
    <t>1.1/7999/010 = 1.1/7100/010 + 1.1/7110/010 + 1.1/7120/010 + 1.1/7130/010 + 1.1/7140/010 + 1.1/7150/010 + 1.1/7160/010 + 1.1/7170/010 + 1.1/7190/010 + 1.1/7220/010 + 1.1/7230/010 + 1.1/7240/010 + 1.1/7250/010 + 1.1/7260/010</t>
  </si>
  <si>
    <t>1.1/7999/015 = 1.1/7100/015 + 1.1/7110/015 + 1.1/7120/015 + 1.1/7130/015 + 1.1/7140/015 + 1.1/7150/015 + 1.1/7160/015 + 1.1/7170/015 + 1.1/7190/015 + 1.1/7220/015 + 1.1/7230/015 + 1.1/7240/015 + 1.1/7250/015 + 1.1/7260/015</t>
  </si>
  <si>
    <t>1.1/7999/020 = 1.1/7100/020 + 1.1/7110/020 + 1.1/7120/020 + 1.1/7130/020 + 1.1/7140/020 + 1.1/7150/020 + 1.1/7160/020 + 1.1/7170/020 + 1.1/7190/020 + 1.1/7220/020 + 1.1/7230/020 + 1.1/7240/020 + 1.1/7250/020 + 1.1/7260/020</t>
  </si>
  <si>
    <t>IFRS 7.24 (a) (i)</t>
  </si>
  <si>
    <t>Cash flow hedge of interest rate risk</t>
  </si>
  <si>
    <t>39 IG F.6 1-3</t>
  </si>
  <si>
    <t>Fair value changes of the hedging instrument – ineffective portion</t>
  </si>
  <si>
    <t>Discontinuation of hedge accounting in the case of a cash flow hedge</t>
  </si>
  <si>
    <t>30 Gains (losses) from hedge accounting, net</t>
  </si>
  <si>
    <t>16.68/71 IAS 1.87 (c)</t>
  </si>
  <si>
    <t>Investment property</t>
  </si>
  <si>
    <t>40.69</t>
  </si>
  <si>
    <t>38.113/118 (e) (ii )</t>
  </si>
  <si>
    <t>Investment in associates, subsidiaries and joint ventures</t>
  </si>
  <si>
    <t>31Gains (losses) on derecognition of assets other than held for sale, net</t>
  </si>
  <si>
    <t>Income</t>
  </si>
  <si>
    <t xml:space="preserve">Tangible assets measured using the revaluation model </t>
  </si>
  <si>
    <t xml:space="preserve">16.39 </t>
  </si>
  <si>
    <t>Rental income from investment property</t>
  </si>
  <si>
    <t>40.75f(i)</t>
  </si>
  <si>
    <t>Other income related to investment property</t>
  </si>
  <si>
    <t>40.75g</t>
  </si>
  <si>
    <t>Operating leases</t>
  </si>
  <si>
    <t>17.33/50</t>
  </si>
  <si>
    <t>Expenses</t>
  </si>
  <si>
    <t>16.40</t>
  </si>
  <si>
    <t>Direct operating expenses (including repair and maintenance) arising from investment property that generated rental income during the period</t>
  </si>
  <si>
    <t>40.75f(ii)</t>
  </si>
  <si>
    <t>Direct operating expenses (including repair and maintenance) arising from investment property that did not generated rental income during the period</t>
  </si>
  <si>
    <t>40.75f(iii)</t>
  </si>
  <si>
    <t>32 Other operating income and expenses</t>
  </si>
  <si>
    <t>Wages and salaries</t>
  </si>
  <si>
    <t>514.1</t>
  </si>
  <si>
    <t>514.2-3</t>
  </si>
  <si>
    <t>Pension and similar expenses</t>
  </si>
  <si>
    <t>514.5</t>
  </si>
  <si>
    <t>Share based payments</t>
  </si>
  <si>
    <t>IFRIC 2.2</t>
  </si>
  <si>
    <t>1. Components of defined benefit plan assets and liabilities</t>
  </si>
  <si>
    <t xml:space="preserve">19.104A; IAS 120A (f) (iv) </t>
  </si>
  <si>
    <t>16.73(e) (vii)</t>
  </si>
  <si>
    <t>Impairment losses recognized in profit or loss</t>
  </si>
  <si>
    <t>16.73(e) (v)</t>
  </si>
  <si>
    <t>39.37a; 39 AG 51, IFRS 7.15 (a)</t>
  </si>
  <si>
    <t>Impairment losses reversed in profit or loss</t>
  </si>
  <si>
    <t>16.73(e) (vi)</t>
  </si>
  <si>
    <t>Foreign currency translation effects</t>
  </si>
  <si>
    <t>16.73(e) (viii)</t>
  </si>
  <si>
    <t>Transfers</t>
  </si>
  <si>
    <t>IFRS 5.6/26; 16.73 (e) (ii)</t>
  </si>
  <si>
    <t>To and from investment property</t>
  </si>
  <si>
    <t>40.57 (a-c)</t>
  </si>
  <si>
    <t>Other changes</t>
  </si>
  <si>
    <t>16.73(e) (ix)</t>
  </si>
  <si>
    <t xml:space="preserve">Closing balance </t>
  </si>
  <si>
    <t xml:space="preserve">Accumulated depreciation </t>
  </si>
  <si>
    <t>16.75b</t>
  </si>
  <si>
    <t>Assets held under a finance lease</t>
  </si>
  <si>
    <t>17.31a</t>
  </si>
  <si>
    <t>Assets subject to operating lease</t>
  </si>
  <si>
    <t>17.49</t>
  </si>
  <si>
    <t>13 Property, Plant and Equipment (PPE)</t>
  </si>
  <si>
    <t>Table A PPE measured after recognition using the revaluation model   (IAS 16.31)</t>
  </si>
  <si>
    <t>Code C</t>
  </si>
  <si>
    <t>To and from non-current assets held for Sale</t>
  </si>
  <si>
    <t xml:space="preserve">Table B PPE measured after recognition using the cost model  (IAS 16.30) </t>
  </si>
  <si>
    <t>To and from non-current assets held for sale</t>
  </si>
  <si>
    <t>Total Closing balance (total tables A+B)</t>
  </si>
  <si>
    <t>Carrying amounts</t>
  </si>
  <si>
    <t>Acquisitions</t>
  </si>
  <si>
    <t>Subsequent expenditures</t>
  </si>
  <si>
    <t xml:space="preserve"> 40.79 (d) (iv)</t>
  </si>
  <si>
    <t>Impairment losses recognised</t>
  </si>
  <si>
    <t xml:space="preserve"> 40.79 (d) (v)</t>
  </si>
  <si>
    <t>Impairment losses reversed</t>
  </si>
  <si>
    <t xml:space="preserve">Table B: Consolidated companies added during the period </t>
  </si>
  <si>
    <t>Table C: Companies removed during the period</t>
  </si>
  <si>
    <t>Reason for removal</t>
  </si>
  <si>
    <t>46 Scope of consolidation</t>
  </si>
  <si>
    <t>Current year +7</t>
  </si>
  <si>
    <t>Current year +8</t>
  </si>
  <si>
    <t>Current year +9</t>
  </si>
  <si>
    <t>Current year +10</t>
  </si>
  <si>
    <t>More than current year +10</t>
  </si>
  <si>
    <t>Perpetuals</t>
  </si>
  <si>
    <t>23 Subordinated liabilities</t>
  </si>
  <si>
    <t>Other term subordinated debts schema A 273</t>
  </si>
  <si>
    <t>43.0/7599/005 = sum column 43.0/7535/005 through 43.0/7575/005</t>
  </si>
  <si>
    <t>43.0/7625/005 = 43.0/7630/005 + 43.0/7635/005 + 43.0/7640/005</t>
  </si>
  <si>
    <t>44.c/8100/100 = sum row 44.c/8100/005 through 44.c/8100/030 - 44.c/8100/035 + 44.c/8100/040 - 44.c/8100/045 + 44.c/8100/050</t>
  </si>
  <si>
    <t>13.B/7330/025 = Sum row 13.B/7330/005 through 13.B/7330/020</t>
  </si>
  <si>
    <t>13.B/7340/025 = Sum row 13.B/7340/005 through 13.B/7340/020</t>
  </si>
  <si>
    <t>13.B/7350/025 = Sum row 13.B/7350/005 through 13.B/7350/020</t>
  </si>
  <si>
    <t>13.B/7360/025 = Sum row 13.B/7360/005 through 13.B/7360/020</t>
  </si>
  <si>
    <t>13.B/7370/025 = Sum row 13.B/7370/005 through 13.B/7370/020</t>
  </si>
  <si>
    <t>13.B/7380/025 = Sum row 13.B/7380/005 through 13.B/7380/020</t>
  </si>
  <si>
    <t>13.B/7390/025 = Sum row 13.B/7390/005 through 13.B/7390/020</t>
  </si>
  <si>
    <t>13.B/7400/025 = 13.B/7400/005 + 13.B/7400/020</t>
  </si>
  <si>
    <t>13.B/7410/025 = Sum row 13.B/7410/005 through 13.B/7410/020</t>
  </si>
  <si>
    <t>13.B/7420/025 = Sum row 13.B/7420/005 through 13.B/7420/020</t>
  </si>
  <si>
    <t>13.B/7430/025 = Sum row 13.B/7430/005 through 13.B/7430/020</t>
  </si>
  <si>
    <t>13.B/7440/025 = Sum row 13.B/7440/005 through 13.B/7440/020</t>
  </si>
  <si>
    <t>13.B/7450/025 = Sum row 13.B/7450/010 through 13.B/7450/020</t>
  </si>
  <si>
    <t>13.B/7380/005 = Sum column 13.B/7390/005 through 13.B/7400/005</t>
  </si>
  <si>
    <t>13.B/7380/020 = Sum column 13.B/7390/020 through 13.B/7400/020</t>
  </si>
  <si>
    <t>13.B/7380/025 = Sum column 13.B/7390/025 through 13.B/7400/025</t>
  </si>
  <si>
    <t>(If 13.B/7430/005 &gt;  = 13.B/7340/005)</t>
  </si>
  <si>
    <t>(If 13.B/7430/010 &gt;  = 13.B/7340/010)</t>
  </si>
  <si>
    <t>(If 13.B/7430/015 &gt;  = 13.B/7340/015)</t>
  </si>
  <si>
    <t>13.B/7420/005 = 13.B/7290/005 + 13.B/7300/005 + 13.B/7310/005 - 13.B/7320/005 - 13.B/7330/005 - 13.B/7340/005 - 13.B/7350/005 + 13.B/7360/005 + 13.B/7370/005 - 13.B/7380/005 + 13.B/7410/005</t>
  </si>
  <si>
    <t>13.B/7420/010 = 13.B/7290/010 + 13.B/7300/010 + 13.B/7310/010 - 13.B/7320/010 - 13.B/7330/010 - 13.B/7340/010 - 13.B/7350/010 + 13.B/7360/010 + 13.B/7370/010 - 13.B/7380/010 + 13.B/7410/010</t>
  </si>
  <si>
    <t>13.B/7420/015 = 13.B/7290/015 + 13.B/7300/015 + 13.B/7310/015 - 13.B/7320/015 - 13.B/7330/015 - 13.B/7340/015 - 13.B/7350/015 + 13.B/7360/015 + 13.B/7370/015 - 13.B/7380/015 + 13.B/7410/015</t>
  </si>
  <si>
    <t>13.B/7420/020 = 13.B/7290/020 + 13.B/7300/020 + 13.B/7310/020 - 13.B/7320/020 - 13.B/7330/020 - 13.B/7340/020 - 13.B/7350/020 + 13.B/7360/020 + 13.B/7370/020 - 13.B/7380/020 + 13.B/7410/020</t>
  </si>
  <si>
    <t>1.2/7120/005 = 1.2/7120/010 + 1.2/7120/015 + 1.2/7120/020</t>
  </si>
  <si>
    <t>1.2/7130/005 = 1.2/7130/010 + 1.2/7130/015 + 1.2/7130/020</t>
  </si>
  <si>
    <t>1.2/7150/005 = 1.2/7150/010 + 1.2/7150/015 + 1.2/7150/020</t>
  </si>
  <si>
    <t>1.2/7160/005 = 1.2/7160/010 + 1.2/7160/015 + 1.2/7160/020</t>
  </si>
  <si>
    <t>1.2/7180/005 = 1.2/7180/010 + 1.2/7180/015 + 1.2/7180/020</t>
  </si>
  <si>
    <t>1.2/7190/005 = 1.2/7190/010 + 1.2/7190/015 + 1.2/7190/020</t>
  </si>
  <si>
    <t>1.2/7200/005 = 1.2/7200/010 + 1.2/7200/015 + 1.2/7200/020</t>
  </si>
  <si>
    <t>1.2/7210/005 = 1.2/7210/010 + 1.2/7210/015 + 1.2/7210/020</t>
  </si>
  <si>
    <t>1.2/7220/005 = 1.2/7220/010 + 1.2/7220/015 + 1.2/7220/020</t>
  </si>
  <si>
    <t>1.2/7240/005 = 1.2/7240/010 + 1.2/7240/015 + 1.2/7240/020</t>
  </si>
  <si>
    <t>1.2/7250/005 = 1.2/7250/010 + 1.2/7250/015 + 1.2/7250/020</t>
  </si>
  <si>
    <t>1.2/7253/005 = 1.2/7253/010 + 1.2/7253/015 + 1.2/7253/020</t>
  </si>
  <si>
    <t>1.2/7257/005 = 1.2/7257/010 + 1.2/7257/015 + 1.2/7257/020</t>
  </si>
  <si>
    <t>1.2/7260/005 = 1.2/7260/010 + 1.2/7260/015 + 1.2/7260/020</t>
  </si>
  <si>
    <t>1.2/7270/005 = 1.2/7270/010 + 1.2/7270/015 + 1.2/7270/020</t>
  </si>
  <si>
    <t>1.2/7280/005 = 1.2/7280/010 + 1.2/7280/015 + 1.2/7280/020</t>
  </si>
  <si>
    <t>1.2/7999/005 = 1.2/7999/010 + 1.2/7999/015 + 1.2/7999/020</t>
  </si>
  <si>
    <t>1.2/7210/005 = 11.A/7219/010 + 11.A/7399/010  + 11.B/7400/010 + 11.B/7410/010+ 11.A/7500/010</t>
  </si>
  <si>
    <t>1.3/7100/005 = 1.3/7100/010 + 1.3/7100/015 + 1.3/7100/020</t>
  </si>
  <si>
    <t>1.3/7110/005 = 1.3/7110/010 + 1.3/7110/015 + 1.3/7110/020</t>
  </si>
  <si>
    <t>1.3/7120/005 = 1.3/7120/010 + 1.3/7120/015 + 1.3/7120/020</t>
  </si>
  <si>
    <t>1.3/7130/005 = 1.3/7130/010 + 1.3/7130/015 + 1.3/7130/020</t>
  </si>
  <si>
    <t>1.3/7140/005 = 1.3/7140/010 + 1.3/7140/015 + 1.3/7140/020</t>
  </si>
  <si>
    <t>1.3/7150/005 = 1.3/7150/010 + 1.3/7150/015 + 1.3/7150/020</t>
  </si>
  <si>
    <t>1.3/7160/005 = 1.3/7160/010 + 1.3/7160/015 + 1.3/7160/020</t>
  </si>
  <si>
    <t>1.3/7170/005 = 1.3/7170/010 + 1.3/7170/015 + 1.3/7170/020</t>
  </si>
  <si>
    <t>1.3/7180/005 = 1.3/7180/010 + 1.3/7180/015 + 1.3/7180/020</t>
  </si>
  <si>
    <t>1.3/7190/005 = 1.3/7190/010 + 1.3/7190/015 + 1.3/7190/020</t>
  </si>
  <si>
    <t>1.3/7200/005 = 1.3/7200/010 + 1.3/7200/015 + 1.3/7200/020</t>
  </si>
  <si>
    <t>1.3/7210/005 = 1.3/7210/010 + 1.3/7210/015 + 1.3/7210/020</t>
  </si>
  <si>
    <t>1.3/7220/005 = 1.3/7220/010 + 1.3/7220/015 + 1.3/7220/020</t>
  </si>
  <si>
    <t>15.A/7220/010 = 15.A/7100/010 + 15.A/7110/010 + 15.A/7120/010 + 15.A/7130/010 - 15.A/7140/010 - 15.A/7150/010 - 15.A/7160/010 + 15.A/7170/010 + 15.A/7175/010 - 15.A/7180/010 + 15.A/7190/010 + 15.A/7200/010 + 15.A/7210/010</t>
  </si>
  <si>
    <t>15.A/7220/015 = 15.A/7100/015 + 15.A/7110/015 + 15.A/7120/015 + 15.A/7130/015 - 15.A/7140/015 - 15.A/7150/015 - 15.A/7160/015 + 15.A/7170/015 + 15.A7175/015 - 15.A/7180/015 + 15.A/7190/015 + 15.A/7200/015 + 15.A/7210/015</t>
  </si>
  <si>
    <t>15.A/7220/020 = 15.A/7100/020 + 15.A/7110/020 + 15.A/7120/020 + 15.A/7130/020 - 15.A/7140/020 - 15.A/7150/020 - 15.A/7160/020 + 15.A/7170/020 + 15.A/7175/020 - 15.A/7180/020 + 15.A/7190/020 + 15.A/7200/020 + 15.A/7210/020</t>
  </si>
  <si>
    <t>15.A/7220/025 = 15.A/7100/025 + 15.A/7110/025 + 15.A/7120/025 + 15.A/7130/025 - 15.A/7140/025 - 15.A/7150/025 - 15.A/7160/025 + 15.A/7170/025 + 15.A/7175/025 - 15.A/7180/025 + 15.A/7190/025 + 15.A/7200/025 + 15.A/7210/025</t>
  </si>
  <si>
    <t>2.0/7280/005 = 15.A/7160/025 + 15.B/7170/030</t>
  </si>
  <si>
    <t>15.B/7100/030 = Sum row 15.B/7100/005 through 15.B/7100/025</t>
  </si>
  <si>
    <t>15.B/7110/030 = Sum row 15.B/7110/010 through 15.B/7110/025</t>
  </si>
  <si>
    <t>15.B/7120/030 = Sum row 15.B/7120/005 through 15.B/7120/025</t>
  </si>
  <si>
    <t>15.B/7130/030 = Sum row 15.B/7130/010 through 15.B/7130/025</t>
  </si>
  <si>
    <t>15.B/7140/030 = Sum row 15.B/7140/005 through 15.B/7140/025</t>
  </si>
  <si>
    <t>15.B/7150/030 = Sum row 15.B/7150/005 through 15.B/7150/025</t>
  </si>
  <si>
    <t>15.B/7160/030 = 15.B/7160/005</t>
  </si>
  <si>
    <t>15.B/7170/030 = Sum row 15.B/7170/010 through 15.B/7170/025</t>
  </si>
  <si>
    <t>15.B/7190/030 = Sum row 15.B/7190/005 through 15.B/7190/025</t>
  </si>
  <si>
    <t>15.B/7200/030 = Sum row 15.B/7200/010 through 15.B/7200/025</t>
  </si>
  <si>
    <t>15.B/7210/030 = Sum row 15.B/7210/005 through 15.B/7210/025</t>
  </si>
  <si>
    <t>15.B/7220/030 = Sum row 15.B/7220/005 through 15.B/7220/025</t>
  </si>
  <si>
    <t>15.B/7230/030 = Sum row 15.B/7230/005 through 15.B/7230/025</t>
  </si>
  <si>
    <t>15.B/7270/030 = Sum row 15.B/7270/010 through 15.B/7270/025</t>
  </si>
  <si>
    <t>15.B/7230/005 = 15.B/7250/005 - 15.B/7260/005</t>
  </si>
  <si>
    <t>If 15.B/7260/005 then 15.B/7250/005</t>
  </si>
  <si>
    <t>15.B/7299/030 = 15.B/7230/030 + 15.A/7220/025</t>
  </si>
  <si>
    <t>1.3/7170/010 = 1.3/7180/010 + 1.3/7190/010 + 1.3/7200/010 + 1.3/7210/010 + 1.3/7220/010 + 1.3/7230/010 + 1.3/7240/010 + 1.3/7250/010</t>
  </si>
  <si>
    <t>1.3/7300/010 = 1.3/7310/010 + 1.3/7320/010</t>
  </si>
  <si>
    <t>1.3/7100/015 = 1.3/7110/015 + 1.3/7120/015</t>
  </si>
  <si>
    <t>1.3/7140/015 = 1.3/7150/015 + 1.3/7160/015</t>
  </si>
  <si>
    <t>1.3/7170/015 = 1.3/7180/015 + 1.3/7190/015 + 1.3/7200/015 + 1.3/7210/015 + 1.3/7220/015 + 1.3/7230/015 + 1.3/7240/015 + 1.3/7250/015</t>
  </si>
  <si>
    <t>1.3/7300/015 = 1.3/7310/015 + 1.3/7320/015</t>
  </si>
  <si>
    <t>1.3/7100/020 = 1.3/7110/020 + 1.3/7120/020</t>
  </si>
  <si>
    <t>1.3/7140/020 = 1.3/7150/020 + 1.3/7160/020</t>
  </si>
  <si>
    <t>1.3/7170/020 = 1.3/7180/020 + 1.3/7190/020 + 1.3/7200/020 + 1.3/7210/020 + 1.3/7220/020 + 1.3/7230/020 + 1.3/7240/020 + 1.3/7250/020</t>
  </si>
  <si>
    <t>1.3/7300/020 = 1.3/7310/020 + 1.3/7320/020</t>
  </si>
  <si>
    <t>2.0/7599/005 = 2.0/7100/005 - 2.0/7220/005 - 2.0/7250/005 - 2.0/7290/005 - 2.0/7300/005 + 2.0/7420/005 + 2.0/7430/005 + 2.0/7499/005</t>
  </si>
  <si>
    <t>2.0/7699/005 = 2.0/7599/005 - 2.0/7600/005</t>
  </si>
  <si>
    <t>2.0/7899/005 = 2.0/7699/005 + 2.0/7799/005</t>
  </si>
  <si>
    <t>2.0/7999/005 = 2.0/7899/005 - 2.0/7900/005</t>
  </si>
  <si>
    <t>2.0/7100/005 = 2.0/7105/005 - 2.0/7107/005 - 2.0/7120/005 + 2.0/7130/005 + 2.0/7142/005 -2.0/7147/005 + 2.0/7150/005 + 2.0/7160/005 + 2.0/7170/005 + 2.0/7180/005 + 2.0/7190/005 + 2.0/7200/005 + 2.0/7210/005</t>
  </si>
  <si>
    <t>2.0/7220/005 = 2.0/7230/005 + 2.0/7240/005</t>
  </si>
  <si>
    <t>2.0/7250/005 = 2.0/7260/005 + 2.0/7270/005 + 2.0/7280/005</t>
  </si>
  <si>
    <t>2.0/7300/005 = 2.0/7310/005 + 2.0/7360/005</t>
  </si>
  <si>
    <t>2.0/7310/005 = 2.0/7312/005 + 2.0/7314/005 + 2.0/7316/005 + 2.0/7318/005</t>
  </si>
  <si>
    <t xml:space="preserve">2.0/7360/005 = 2.0/7362/005 + 2.0/7364/005 + 2.0/7366/005 + 2.0/7367/005 + 2.0/7368/005 + 2.0/7369/005 </t>
  </si>
  <si>
    <t>2.0/7105/005 = 2.0/710501/005 + 2.0/710502/005 + 2.0/710503/005 + 2.0/710504/005 + 2.0/710505/005 + 2.0/710506/005 + 2.0/710507/005 + 2.0/710508/005</t>
  </si>
  <si>
    <t>2.0/7107/005 = 2.0/710701/005 + 2.0/710702/005 + 2.0/710703/005 + 2.0/710704/005 + 2.0/710710/005 + 2.0/710711/005</t>
  </si>
  <si>
    <t>2.0/710704/005 = sum column 2.0/710705/005 through 2.0/710709/005</t>
  </si>
  <si>
    <t>2.0/7130/005 = 2.0/7132/005 + 2.0/7134/005 + 2.0/7136/005</t>
  </si>
  <si>
    <t>3.A/7240/005 = 3.B/7240/010 + 3.B/7240/015 + 3.B/7240/020</t>
  </si>
  <si>
    <t>3.A/7250/005 = 3.B/7250/010 + 3.B/7250/015 + 3.B/7250/020</t>
  </si>
  <si>
    <t>3.A/7260/005 = 3.B/7260/010 + 3.B/7260/015 + 3.B/7260/020</t>
  </si>
  <si>
    <t>new</t>
  </si>
  <si>
    <t>3.A/7900/005 = 1.1/7110/005</t>
  </si>
  <si>
    <t>3.B/7110/010 = 3.B/7120/010 + 3.B/7130/010 + 3.B/7140/010</t>
  </si>
  <si>
    <t>3.B/7110/015 = 3.B/7120/015 + 3.B/7130/015 + 3.B/7140/015</t>
  </si>
  <si>
    <t>3.B/7110/020 = 3.B/7120/020 + 3.B/7130/020 + 3.B/7140/020</t>
  </si>
  <si>
    <t>3.B/7150/010 = 3.B/7160/010 + 3.B/7170/010 + 3.B/7180/010 + 3.B/7190/010 + 3.B/7200/010</t>
  </si>
  <si>
    <t>3.B/7150/015 = 3.B/7160/015 + 3.B/7170/015 + 3.B/7180/015 + 3.B/7190/015 + 3.B/7200/015</t>
  </si>
  <si>
    <t>3.B/7150/020 = 3.B/7160/020 + 3.B/7170/020 + 3.B/7180/020 + 3.B/7190/020 + 3.B/7200/020</t>
  </si>
  <si>
    <t>3.B/7210/010 = 3.B/7220/010 + 3.B/7230/010 + 3.B/7240/010 + 3.B/7250/010 + 3.B/7260/010</t>
  </si>
  <si>
    <t>3.B/7210/015 = 3.B/7220/015 + 3.B/7230/015 + 3.B/7240/015 + 3.B/7250/015 + 3.B/7260/015</t>
  </si>
  <si>
    <t>3.B/7210/020 = 3.B/7220/020 + 3.B/7230/020 + 3.B/7240/020 + 3.B/7250/020 + 3.B/7260/020</t>
  </si>
  <si>
    <t>3.B/7999/010 = 3.B/7100/010 + 3.B/7110/010 + 3.B/7150/010 + 3.B/7210/010</t>
  </si>
  <si>
    <t>3.B/7999/015 = 3.B/7100/015 + 3.B/7110/015 + 3.B/7150/015 + 3.B/7210/015</t>
  </si>
  <si>
    <t>3.B/7999/020 = 3.B/7100/020 + 3.B/7110/020 + 3.B/7150/020 + 3.B/7210/020</t>
  </si>
  <si>
    <t>4.0/7999/020 = Sum column 4.0/7100/020 through 4.0/7320/020</t>
  </si>
  <si>
    <t>if (4.0/7100/005 or 4.0/7100/010) exist, then 4.0/7100/020  must exist</t>
  </si>
  <si>
    <t>if (4.0/7110/005 or 4.0/7110/010) exist, then 4.0/7110/020  must exist</t>
  </si>
  <si>
    <t>if (4.0/7120/005 or 4.0/7120/010) exist, then 4.0/7120/020  must exist</t>
  </si>
  <si>
    <t>if (4.0/7130/005 or 4.0/7130/010) exist, then 4.0/7130/020  must exist</t>
  </si>
  <si>
    <t>if (4.0/7140/005 or 4.0/7140/010) exist, then 4.0/7140/020  must exist</t>
  </si>
  <si>
    <t>if (4.0/7150/005 or 4.0/7150/010) exist, then 4.0/7150/020  must exist</t>
  </si>
  <si>
    <t>if (4.0/7160/005 or 4.0/7160/010) exist, then 4.0/7160/020  must exist</t>
  </si>
  <si>
    <t>if (4.0/7170/005 or 4.0/7170/010) exist, then 4.0/7170/020  must exist</t>
  </si>
  <si>
    <t>1.1.2.4. Other assets</t>
  </si>
  <si>
    <t>2.8. Effect of limit in par. 58 (b) when the net amount of the defined benefit obligation is negative</t>
  </si>
  <si>
    <t>Memorandum items</t>
  </si>
  <si>
    <t>Accumulated amount of actuarial gains and losses recognised in the statement of recognised income and expense</t>
  </si>
  <si>
    <t>Employer estimate of contributions expected to be paid during the next period</t>
  </si>
  <si>
    <t>3.2. ( - ) Benefits paid</t>
  </si>
  <si>
    <t>3.3 Current service cost</t>
  </si>
  <si>
    <t>3.4 Interest cost</t>
  </si>
  <si>
    <t>3.5 Actuarial gains and losses, total</t>
  </si>
  <si>
    <t>3.6 Past service cost, total</t>
  </si>
  <si>
    <t>3.7. Increases through business combinations</t>
  </si>
  <si>
    <t>3.8. ( - ) Decreases through business divestiture</t>
  </si>
  <si>
    <t>3.9. Foreign currency exchange increase (decrease)</t>
  </si>
  <si>
    <t>3.10. Contributions paid by plan participants</t>
  </si>
  <si>
    <t>3.11. Other increase (decrease)</t>
  </si>
  <si>
    <t>3.12. Defined benefit plan obligations, Closing balance</t>
  </si>
  <si>
    <t>Financial liabilities held for trading</t>
  </si>
  <si>
    <t>IFRS 7.8(e)(ii); 39.9 AG 14-15</t>
  </si>
  <si>
    <t>20A</t>
  </si>
  <si>
    <t xml:space="preserve">Financial liabilities designated at fair value through profit or loss </t>
  </si>
  <si>
    <t>IFRS 7.8(e)(i); 39.9</t>
  </si>
  <si>
    <t>Financial liabilities measured at amortised cost</t>
  </si>
  <si>
    <t>IFRS 7.8(f)</t>
  </si>
  <si>
    <t>Increase in the discounted amount (passage of time) and effect of any change in the discount rate</t>
  </si>
  <si>
    <t>37.84 (e)</t>
  </si>
  <si>
    <t>Exchange differences</t>
  </si>
  <si>
    <t>37.84 (a) </t>
  </si>
  <si>
    <t>19.54</t>
  </si>
  <si>
    <t>Social security charges</t>
  </si>
  <si>
    <t>241.2</t>
  </si>
  <si>
    <t>Servicing liabilities for servicing rights</t>
  </si>
  <si>
    <t>Leasing liabilities</t>
  </si>
  <si>
    <t>39.58-70</t>
  </si>
  <si>
    <t>39.67-70</t>
  </si>
  <si>
    <t xml:space="preserve">Equity </t>
  </si>
  <si>
    <t>39. 46 c</t>
  </si>
  <si>
    <t>7 Available-For-Sale financial assets</t>
  </si>
  <si>
    <t>035</t>
  </si>
  <si>
    <t>Unimpaired assets</t>
  </si>
  <si>
    <t>&lt;Allowances for individually assessed financial assets &gt;</t>
  </si>
  <si>
    <t>&lt; Allowances for collectively assessed financial assets &gt; (*)</t>
  </si>
  <si>
    <t>Total net carrying amount</t>
  </si>
  <si>
    <t>IFRS 7.37; IFRS 7 IG 29(a)</t>
  </si>
  <si>
    <t>IAS 39 AG 84-86; IFRS 7.37(b)</t>
  </si>
  <si>
    <t>IAS 39 AG 84-90</t>
  </si>
  <si>
    <t>39 AG 26</t>
  </si>
  <si>
    <t xml:space="preserve">CRD </t>
  </si>
  <si>
    <t>Corporate</t>
  </si>
  <si>
    <t>8 Loans and receivables</t>
  </si>
  <si>
    <t>Impaired assets (total carrying amount)</t>
  </si>
  <si>
    <t xml:space="preserve">and not based on available observable market data. </t>
  </si>
  <si>
    <t xml:space="preserve">observable current market transactions in the same instrument (i.e. without modification or repackaging) </t>
  </si>
  <si>
    <t>6.A/7160/005 = 6.B/7160/015 + 6.B/7160/020 + 6.B/7160/025</t>
  </si>
  <si>
    <t>6.A/7170/005 = 6.B/7170/015 + 6.B/7170/020 + 6.B/7170/025</t>
  </si>
  <si>
    <t>6.A/7180/005 = 6.B/7180/015 + 6.B/7180/020 + 6.B/7180/025</t>
  </si>
  <si>
    <t>6.A/7190/005 = 6.B/7190/015 + 6.B/7190/020 + 6.B/7190/025</t>
  </si>
  <si>
    <t>6.A/7200/005 = 6.B/7200/015 + 6.B/7200/020 + 6.B/7200/025</t>
  </si>
  <si>
    <t>6.A/7210/005 = 6.B/7210/015 + 6.B/7210/020 + 6.B/7210/025</t>
  </si>
  <si>
    <t>6.A/7220/005 = 6.B/7220/015 + 6.B/7220/020 + 6.B/7220/025</t>
  </si>
  <si>
    <t>6.A/7230/005 = 6.B/7230/015 + 6.B/7230/020 + 6.B/7230/025</t>
  </si>
  <si>
    <t>6.A/7240/005 = 6.B/7240/015 + 6.B/7240/020 + 6.B/7240/025</t>
  </si>
  <si>
    <t>6.A/7999/005 = 1.1/7120/005</t>
  </si>
  <si>
    <t>6.A/7130/005 and 6.A/7130/010 both exist or neither</t>
  </si>
  <si>
    <t>6.A/7140/005 and 6.A/7140/010 both exist or neither</t>
  </si>
  <si>
    <t>6.A/7150/005 and 6.A/7150/010 both exist or neither</t>
  </si>
  <si>
    <t>6.A/7160/005 and 6.A/7160/010 both exist or neither</t>
  </si>
  <si>
    <t>6.A/7170/005 and 6.A/7170/010 both exist or neither</t>
  </si>
  <si>
    <t>6.A/7180/005 and 6.A/7180/010 both exist or neither</t>
  </si>
  <si>
    <t>6.A/7190/005 and 6.A/7190/010 both exist or neither</t>
  </si>
  <si>
    <t>6.A/7200/005 and 6.A/7200/010 both exist or neither</t>
  </si>
  <si>
    <t>6.A/7210/005 and 6.A/7210/010 both exist or neither</t>
  </si>
  <si>
    <t>6.A/7220/005 and 6.A/7220/010 both exist or neither</t>
  </si>
  <si>
    <t>6.A/7230/005 and 6.A/7230/010 both exist or neither</t>
  </si>
  <si>
    <t>6.A/7240/005 and 6.A/7240/010 both exist or neither</t>
  </si>
  <si>
    <t>6.A/7999/005 and 6.A/7999/010 both exist or neither</t>
  </si>
  <si>
    <t>6.B/7100/015 = 6.B/7110/015 + 6.B/7120/015</t>
  </si>
  <si>
    <t>6.B/7130/015 = Sum column 6.B/7140/015 through 6.B/7180/015</t>
  </si>
  <si>
    <t>6.B/7190/015 = Sum column 6.B/7200/015 through 6.B/7240/015</t>
  </si>
  <si>
    <t>6.B/7999/015 = 6.B/7100/015 + 6.B/7130/015 + 6.B/7190/015</t>
  </si>
  <si>
    <t>6.B/7100/020 = 6.B/7110/020 + 6.B/7120/020</t>
  </si>
  <si>
    <t>6.B/7130/020 = Sum column 6.B/7140/020 through 6.B/7180/020</t>
  </si>
  <si>
    <t>6.B/7190/020 = Sum column 6.B/7200/020 through 6.B/7240/020</t>
  </si>
  <si>
    <t>6.B/7100/025 = 6.B/7110/025 + 6.B/7120/025</t>
  </si>
  <si>
    <t>6.B/7130/025 = Sum column 6.B/7140/025 through 6.B/7180/025</t>
  </si>
  <si>
    <t>6.B/7190/025 = Sum column 6.B/7200/025 through 6.B/7240/025</t>
  </si>
  <si>
    <t>6.B/7999/025 = 6.B/7100/025 + 6.B/7130/025 + 6.B/7190/025</t>
  </si>
  <si>
    <t>7.A/7100/015 = 7.A/7100/005 + 7.A/7100/010</t>
  </si>
  <si>
    <t>7.A/7110/015 = 7.A/7110/005 + 7.A/7110/010</t>
  </si>
  <si>
    <t>7.A/7120/015 = 7.A/7120/005 + 7.A/7120/010</t>
  </si>
  <si>
    <t>7.A/7130/015 = 7.A/7130/005 + 7.A/7130/010</t>
  </si>
  <si>
    <t>7.A/7140/015 = 7.A/7140/005 + 7.A/7140/010</t>
  </si>
  <si>
    <t>7.A/7150/015 = 7.A/7150/005 + 7.A/7150/010</t>
  </si>
  <si>
    <t>Financial liabilities held for trading (if accounted for separately)</t>
  </si>
  <si>
    <t>Financial liabilities designated at fair value through profit or loss (if accounted for separately)</t>
  </si>
  <si>
    <t>Deposits from credit institutions</t>
  </si>
  <si>
    <t xml:space="preserve">Deposits from non credit institutions </t>
  </si>
  <si>
    <t>Debt certificates</t>
  </si>
  <si>
    <t>Other financial liabilities</t>
  </si>
  <si>
    <t xml:space="preserve">IFRS 7.20 (b);  39.9   </t>
  </si>
  <si>
    <t>Effect of exchange rate changes on cash and cash equivalents</t>
  </si>
  <si>
    <t xml:space="preserve"> 7.28</t>
  </si>
  <si>
    <t>Repo</t>
  </si>
  <si>
    <t xml:space="preserve">Credit institutions </t>
  </si>
  <si>
    <t>Other than credit institutions</t>
  </si>
  <si>
    <t>Table B (transferor)</t>
  </si>
  <si>
    <t>40.76 (g);    40.79 (d) (viii)</t>
  </si>
  <si>
    <t>40.76;            40.79 (d)</t>
  </si>
  <si>
    <t>Opening balance</t>
  </si>
  <si>
    <t xml:space="preserve">Gross carrying amount </t>
  </si>
  <si>
    <t>40.79(c)</t>
  </si>
  <si>
    <t>Accumulated depreciation</t>
  </si>
  <si>
    <t>Internally developed software</t>
  </si>
  <si>
    <t>Acquired software</t>
  </si>
  <si>
    <t>Other internally developed intangible assets</t>
  </si>
  <si>
    <t>38.57/119 (c)</t>
  </si>
  <si>
    <t>38.119 (c)</t>
  </si>
  <si>
    <t>38.57</t>
  </si>
  <si>
    <t>38.118(e)</t>
  </si>
  <si>
    <t>Additions from internal development</t>
  </si>
  <si>
    <t>38.118(e)(i)</t>
  </si>
  <si>
    <t>39.29; 39 AG 51</t>
  </si>
  <si>
    <t>Total current year</t>
  </si>
  <si>
    <t>1.1.2.1. Equity instruments</t>
  </si>
  <si>
    <t>1.1.2.2. Debt instruments</t>
  </si>
  <si>
    <t>Foreign Currency Exchange Increase (Decrease)</t>
  </si>
  <si>
    <t>Transfers from Share Premium</t>
  </si>
  <si>
    <t xml:space="preserve"> 12.64 </t>
  </si>
  <si>
    <t>Released to Retained Earnings</t>
  </si>
  <si>
    <t xml:space="preserve"> 32.59 </t>
  </si>
  <si>
    <t>Net gains or losses from FV adjustments</t>
  </si>
  <si>
    <t xml:space="preserve"> 40.76 (d)</t>
  </si>
  <si>
    <t>Transfers to and from inventories &amp; owner-occupied properties</t>
  </si>
  <si>
    <t>Transfers to and from non-current assets Held for Sale</t>
  </si>
  <si>
    <t>Closing balance</t>
  </si>
  <si>
    <t xml:space="preserve"> 17.31 (a)</t>
  </si>
  <si>
    <t xml:space="preserve"> 17.49</t>
  </si>
  <si>
    <t>14  Investment property (IP)</t>
  </si>
  <si>
    <t>Fair value if electing for cost model 40.79 (e)</t>
  </si>
  <si>
    <t>Exceptional cases of use of cost model if electing for fair value model 40.78</t>
  </si>
  <si>
    <t xml:space="preserve"> 40.76;            40.79 (d)</t>
  </si>
  <si>
    <t>082</t>
  </si>
  <si>
    <t>Profit (Loss)</t>
  </si>
  <si>
    <t>5. Effects of changes in the assumed medical trend rate</t>
  </si>
  <si>
    <t>Increase 1%</t>
  </si>
  <si>
    <t>Decrease 1%</t>
  </si>
  <si>
    <t>5.1. Current service cost and interest cost components of periodic medical cost</t>
  </si>
  <si>
    <t>5.2. Accumulated obligation for medical cost</t>
  </si>
  <si>
    <t>Cash Flow Hedge Gains (Losses) - Recognized in Equity</t>
  </si>
  <si>
    <t>19.120A (f)</t>
  </si>
  <si>
    <t xml:space="preserve"> 19.120A (d)</t>
  </si>
  <si>
    <t>19.120A (d),  19.120A (e), 19.120A (f)</t>
  </si>
  <si>
    <t>7.A/7220/015 = 7.B/7220/025 + 7.B/7220/030 + 7.B/7220/035</t>
  </si>
  <si>
    <t>7.A/7230/015 = 7.B/7230/025 + 7.B/7230/030 + 7.B/7230/035</t>
  </si>
  <si>
    <t>7.A/7240/015 = 7.B/7240/025 + 7.B/7240/030 + 7.B/7240/035</t>
  </si>
  <si>
    <t>7.A/7250/015 = 7.B/7250/025 + 7.B/7250/030 + 7.B/7250/035</t>
  </si>
  <si>
    <t>7.A/7100/010 and 7.A/7100/020 both exist or neither</t>
  </si>
  <si>
    <t>7.A/7110/010 and 7.A/7110/020 both exist or neither</t>
  </si>
  <si>
    <t>7.A/7120/010 and 7.A/7120/020 both exist or neither</t>
  </si>
  <si>
    <t>7.A/7130/010 and 7.A/7130/020 both exist or neither</t>
  </si>
  <si>
    <t>7.A/7140/010 and 7.A/7140/020 both exist or neither</t>
  </si>
  <si>
    <t>7.A/7150/010 and 7.A/7150/020 both exist or neither</t>
  </si>
  <si>
    <t>7.A/7160/010 and 7.A/7160/020 both exist or neither</t>
  </si>
  <si>
    <t>7.A/7170/010 and 7.A/7170/020 both exist or neither</t>
  </si>
  <si>
    <t>7.A/7180/010 and 7.A/7180/020 both exist or neither</t>
  </si>
  <si>
    <t>7.A/7190/010 and 7.A/7190/020 both exist or neither</t>
  </si>
  <si>
    <t>7.A/7200/010 and 7.A/7200/020 both exist or neither</t>
  </si>
  <si>
    <t>7.A/7210/010 and 7.A/7210/020 both exist or neither</t>
  </si>
  <si>
    <t>7.A/7220/010 and 7.A/7220/020 both exist or neither</t>
  </si>
  <si>
    <t>7.A/7230/010 and 7.A/7230/020 both exist or neither</t>
  </si>
  <si>
    <t>7.A/7240/010 and 7.A/7240/020 both exist or neither</t>
  </si>
  <si>
    <t>7.A/7250/010 and 7.A/7250/020 both exist or neither</t>
  </si>
  <si>
    <t>7.A/7999/010 and 7.A/7999/020 both exist or neither</t>
  </si>
  <si>
    <t>7.A/7999/020 = 7.A/7200/020 + 7.A/7140/020 + 7.A/7100/020</t>
  </si>
  <si>
    <t xml:space="preserve">7.A/7999/005 = 7.A/7100/005 + 7.A/7140/005 + 7.A/7200/005 </t>
  </si>
  <si>
    <t xml:space="preserve">7.A/7999/010 = 7.A/7100/010 + 7.A/7140/010 + 7.A/7200/010 </t>
  </si>
  <si>
    <t>7.A/7999/015 = 1.1/7130/005</t>
  </si>
  <si>
    <t>OK</t>
  </si>
  <si>
    <t xml:space="preserve">  Transferred to profit or loss</t>
  </si>
  <si>
    <t xml:space="preserve">  Other reclassifications</t>
  </si>
  <si>
    <t xml:space="preserve">  Transferred to initial carrying amount of hedged items</t>
  </si>
  <si>
    <t>Non-current assets and disposal groups held for sale</t>
  </si>
  <si>
    <t>Share of other recognised income and expense of entities accounted for using the equity method</t>
  </si>
  <si>
    <t>Available for sale financial assets measured at fair value through equity</t>
  </si>
  <si>
    <t>PROFIT (LOSS) FOR THE YEAR</t>
  </si>
  <si>
    <t>OTHER RECOGNISED INCOME AND EXPENSE</t>
  </si>
  <si>
    <t xml:space="preserve">  Valuation gains/losses taken to equity</t>
  </si>
  <si>
    <t>8.A/7200/025 = Sum row 8.B/7200/030 through 8.B/7200/040</t>
  </si>
  <si>
    <t>8.A/7210/025 = Sum row 8.B/7210/030 through 8.B/7210/040</t>
  </si>
  <si>
    <t>If 8.A/7100/010 exists then 8.A/7100/015 or 8.A/7100/020 must exist</t>
  </si>
  <si>
    <t>If 8.A/7110/010 exists then 8.A/7110/015 or 8.A/7110/020 must exist</t>
  </si>
  <si>
    <t>If 8.A/7120/010 exists then 8.A/7120/015 or 8.A/7120/020 must exist</t>
  </si>
  <si>
    <t>If 8.A/7130/010 exists then 8.A/7130/015 or 8.A/7130/020 must exist</t>
  </si>
  <si>
    <t>If 8.A/7140/010 exists then 8.A/7140/015 or 8.A/7140/020 must exist</t>
  </si>
  <si>
    <t>If 8.A/7150/010 exists then 8.A/7150/015 or 8.A/7150/020 must exist</t>
  </si>
  <si>
    <t>If 8.A/7160/010 exists then 8.A/7160/015 or 8.A/7160/020 must exist</t>
  </si>
  <si>
    <t>37.A/7170/005 = 14.A/7170/005</t>
  </si>
  <si>
    <t>37.A/7170/010 = 14.A/7180/005</t>
  </si>
  <si>
    <t>37.B/7999/005 = 37.B/7101/005 + 37.B/7201/005</t>
  </si>
  <si>
    <t>37.B/7999/010 = 37.B/7101/010 + 37.B/7201/010</t>
  </si>
  <si>
    <t>37.B/7999/015 = 37.B/7101/015 + 37.B/7201/015</t>
  </si>
  <si>
    <t>37.B/7999/020 = 37.B/7101/020 + 37.B/7201/020</t>
  </si>
  <si>
    <t>37.B/7999/025 = 37.B/7101/025 + 37.B/7201/025</t>
  </si>
  <si>
    <t>37.B/7999/030 = 37.B/7101/030 + 37.B/7201/030</t>
  </si>
  <si>
    <t>37.B/7999/035 = 37.B/7101/035 + 37.B/7201/035</t>
  </si>
  <si>
    <t>37.B/7999/040 = 37.B/7101/040 + 37.B/7201/040</t>
  </si>
  <si>
    <t>37.B/7999/045 = 37.B/7101/045 + 37.B/7201/045</t>
  </si>
  <si>
    <t>37.B/7101/035 = 37.B/7101/005 - 37.B/7101/010 + 37.B/7101/015 - 37.B/7101/020 + 37.B/7101/025 + 37.B/7101/030</t>
  </si>
  <si>
    <t>37.B/7201/035 = 37.B/7201/005 - 37.B/7201/010 + 37.B/7201/015 - 37.B/7201/020 + 37.B/7201/025 + 37.B/7201/030</t>
  </si>
  <si>
    <t>37.B/7999/035 = 37.B/7999/005 - 37.B/7999/010 + 37.B/7999/015 - 37.B/7999/020 + 37.B/7999/025 + 37.B/7999/030</t>
  </si>
  <si>
    <t>37.C/7399/005 = Sum column 37.C/7100/005 through 37.C/7360/005</t>
  </si>
  <si>
    <t>37.C/7400/005 = 37.C/7410/005 + 37.C/7420/005</t>
  </si>
  <si>
    <t>Equity component of compound financial instruments</t>
  </si>
  <si>
    <t>32.28; 32 AG 27 (a)</t>
  </si>
  <si>
    <t>Other</t>
  </si>
  <si>
    <t>Revaluation reserves and other valuation differences:</t>
  </si>
  <si>
    <t xml:space="preserve">Tangible assets </t>
  </si>
  <si>
    <t>16.39-40</t>
  </si>
  <si>
    <t xml:space="preserve">Intangible assets </t>
  </si>
  <si>
    <t>38.85/86</t>
  </si>
  <si>
    <t>Hedge of net investments in foreign operations (effective portion)</t>
  </si>
  <si>
    <t>39.102a</t>
  </si>
  <si>
    <t xml:space="preserve">Foreign currency translation </t>
  </si>
  <si>
    <t>21.52b</t>
  </si>
  <si>
    <t>Increase (Decrease) in working capital (excl. cash &amp; cash equivalents):</t>
  </si>
  <si>
    <t>Increase (decrease) in operating assets (excl. cash &amp; cash equivalents):</t>
  </si>
  <si>
    <t>Increase (decrease) in balances with central banks</t>
  </si>
  <si>
    <t>Increase (decrease) in available-for-sale assets</t>
  </si>
  <si>
    <t>Increase (decrease) in financial assets held for trading</t>
  </si>
  <si>
    <t>Increase (decrease) in financial assets designated at fair value through profit or loss</t>
  </si>
  <si>
    <t>Increase (decrease) in asset-derivatives, hedge accounting</t>
  </si>
  <si>
    <t>Increase (decrease) in non-current held for sale</t>
  </si>
  <si>
    <t>Increase (decrease) in other assets (definition balance sheet)</t>
  </si>
  <si>
    <t>Pre-tax profit or loss of discontinued operations</t>
  </si>
  <si>
    <t>total</t>
  </si>
  <si>
    <t xml:space="preserve">Income tax expense </t>
  </si>
  <si>
    <t>1.75e, 1.68 (p)</t>
  </si>
  <si>
    <t>Post-tax profit or loss of discontinued operations</t>
  </si>
  <si>
    <t>IFRS 5.33 (a)i</t>
  </si>
  <si>
    <t>40.A/7199/025 = Sum column 40.A/7100/025 through 40.A/7150/025</t>
  </si>
  <si>
    <t xml:space="preserve">  Equity holders of the parent</t>
  </si>
  <si>
    <t xml:space="preserve">  Minority interest</t>
  </si>
  <si>
    <t>Effects of changes in accounting policies</t>
  </si>
  <si>
    <t xml:space="preserve">  Translation gains/losses taken to equity</t>
  </si>
  <si>
    <t xml:space="preserve">1.1.1. Present value of wholly or partially funded </t>
  </si>
  <si>
    <t>Increases or decreases resulting from revaluations and impairment losses recognized or reversed directly in equity</t>
  </si>
  <si>
    <t>38.118(e)(iii)</t>
  </si>
  <si>
    <t>Impairment recognized in profit or loss</t>
  </si>
  <si>
    <t>38.118(e)(iv)</t>
  </si>
  <si>
    <t>Short-term employee benefits</t>
  </si>
  <si>
    <t>24.16(a)</t>
  </si>
  <si>
    <t>Post-employment benefits</t>
  </si>
  <si>
    <t>24.16(b)</t>
  </si>
  <si>
    <t>Other long-term benefits</t>
  </si>
  <si>
    <t>24.16(c)</t>
  </si>
  <si>
    <t>Termination benefits</t>
  </si>
  <si>
    <t>24.16(d)</t>
  </si>
  <si>
    <t>24.16(e)</t>
  </si>
  <si>
    <t>Tableau C</t>
  </si>
  <si>
    <t xml:space="preserve">Impairment reversed in profit or loss </t>
  </si>
  <si>
    <t>38.118(e)(v)</t>
  </si>
  <si>
    <t>38.118(e)(vii)</t>
  </si>
  <si>
    <t>7167</t>
  </si>
  <si>
    <t>7168</t>
  </si>
  <si>
    <t>7169</t>
  </si>
  <si>
    <t>7312</t>
  </si>
  <si>
    <t>7314</t>
  </si>
  <si>
    <t>7316</t>
  </si>
  <si>
    <t>7318</t>
  </si>
  <si>
    <t>7362</t>
  </si>
  <si>
    <t>7364</t>
  </si>
  <si>
    <t>7366</t>
  </si>
  <si>
    <t>7368</t>
  </si>
  <si>
    <t>7367</t>
  </si>
  <si>
    <t>7369</t>
  </si>
  <si>
    <t>Accrued income (if accounted for separately)</t>
  </si>
  <si>
    <t>Loans &amp; advances to</t>
  </si>
  <si>
    <t>Debt instruments issued by</t>
  </si>
  <si>
    <t>Debts instruments issued by</t>
  </si>
  <si>
    <t>Accrued income if accounted for separately</t>
  </si>
  <si>
    <t>Accrued income/expenses (if accounted for separately)</t>
  </si>
  <si>
    <t>Securitized loans</t>
  </si>
  <si>
    <t>&lt; Allowances for collectively assessed financial assets &gt; (incl allowances for IBNR losses)</t>
  </si>
  <si>
    <t>Notional Amounts        CRD Art 78</t>
  </si>
  <si>
    <t>45 Notional amounts of off-balance sheet commitments</t>
  </si>
  <si>
    <t>Table A: Companies consolidated at the end of the reporting period</t>
  </si>
  <si>
    <t>Company</t>
  </si>
  <si>
    <t>Jurisdiction of Incorporation</t>
  </si>
  <si>
    <t>Currency</t>
  </si>
  <si>
    <t>Deposit guarantee system</t>
  </si>
  <si>
    <t>schema A 221.8</t>
  </si>
  <si>
    <t xml:space="preserve">Other financial liabilities </t>
  </si>
  <si>
    <t> Table B : geographical breakdown</t>
  </si>
  <si>
    <t xml:space="preserve">22 Financial liabilities measured at amortised cost </t>
  </si>
  <si>
    <t>Maturity date</t>
  </si>
  <si>
    <t>IFRS ref.</t>
  </si>
  <si>
    <t>Current year</t>
  </si>
  <si>
    <t>Current year +1</t>
  </si>
  <si>
    <t>Current year +2</t>
  </si>
  <si>
    <t>Current year +3</t>
  </si>
  <si>
    <t>Current year +4</t>
  </si>
  <si>
    <t>Current year +5</t>
  </si>
  <si>
    <t>Current year +6</t>
  </si>
  <si>
    <t>NET INCREASE IN CASH AND CASH EQUIVALENTS</t>
  </si>
  <si>
    <t>CASH AND CASH EQUIVALENTS AT BEGINNING OF THE PERIOD</t>
  </si>
  <si>
    <t>7. App B</t>
  </si>
  <si>
    <t>CASH AND CASH EQUIVALENTS AT END OF THE PERIOD</t>
  </si>
  <si>
    <t>Components of cash and cash equivalents:</t>
  </si>
  <si>
    <t xml:space="preserve"> 7.45</t>
  </si>
  <si>
    <t>7.       Tax effect from reassessment of unrecognised deferred tax assets</t>
  </si>
  <si>
    <t>8.       Tax effect of change in tax rates</t>
  </si>
  <si>
    <t>44.b/8140/005 = 44.b/8150/005 - 44.b/8160/005 + 44.b/8170/005</t>
  </si>
  <si>
    <t>44.b/8180/005 = 44.b/8190/005 - 44.b/8200/005 + 44.b/8210/005</t>
  </si>
  <si>
    <t>44.b/8220/005 = 44.b/8230/005 - 44.b/8240/005 - 44.b/8250/005 + 44.b/8260/005</t>
  </si>
  <si>
    <t>44.b/8270/005 = 44.b/8280/005 - 44.b/8290/005 + 44.b/8300/005</t>
  </si>
  <si>
    <t>44.b/8310/005 = 44.b/8320/005 - 44.b/8330/005 + 44.b/8340/005</t>
  </si>
  <si>
    <t>44.b/8390/005 = 44.b/8100/005 + 44.b/8120/005 + 44.b/8130/005 + 44.b/8140/005 + 44.b/8180/005 + 44.b/8220/005 + 44.b/8270/005 + 44.b/8310/005 + 44.b/8350/005 + 44.b/8360/005 + 44.b/8370/005 + 44.b/8380/005</t>
  </si>
  <si>
    <t>44.b/8100/005 = 2.0/7899/005</t>
  </si>
  <si>
    <t>44.b/8390/005 = 44.b/8400/005 + 44.b/8410/005</t>
  </si>
  <si>
    <t>42.0/7110/005 = 42.0/7120/005 - 42.0/7130/005</t>
  </si>
  <si>
    <t>42.0/7130/005 = 42.0/8133/005 + 42.0/8134/005 + 42.0/8135/005 + 42.0/8136/005</t>
  </si>
  <si>
    <t xml:space="preserve">Income </t>
  </si>
  <si>
    <t>Interest Income</t>
  </si>
  <si>
    <t>Foreign exchange</t>
  </si>
  <si>
    <t xml:space="preserve">Insurance premiums </t>
  </si>
  <si>
    <t xml:space="preserve">Receiving of services </t>
  </si>
  <si>
    <t xml:space="preserve">Sales of goods, property and other assets </t>
  </si>
  <si>
    <t>Expenses from current year in respect of bad or doubtful debts</t>
  </si>
  <si>
    <t>21.A/7150/010 = Sum column 21.A/7160/010 through 21.A/7190/010</t>
  </si>
  <si>
    <t>21.A/7230/010 = Sum column 21.A/7240/010 through 21.A/7250/010</t>
  </si>
  <si>
    <t xml:space="preserve">21.A/7200/010 = 21.A/7210/010 + 21.A/7220/010 + 21.A/7230/010 + 21.A/7260/010 </t>
  </si>
  <si>
    <t>21.A/7999/010 = 21.A/7100/010 + 21.A/7150/010 + 21.A/7200/010 + 21.A/7270/010 + 21.A/7280/010</t>
  </si>
  <si>
    <t>21.A/7100/015 = Sum column 21.A/7110/015 through 21.A/7140/015</t>
  </si>
  <si>
    <t>21.A/7150/015 = Sum column 21.A/7160/015 through 21.A/7190/015</t>
  </si>
  <si>
    <t>21.A/7230/015 = Sum column 21.A/7240/015 through 21.A/7250/015</t>
  </si>
  <si>
    <t xml:space="preserve">21.A/7200/015 = 21.A/7210/015 + 21.A/7220/015 + 21.A/7230/015 + 21.A/7260/015 </t>
  </si>
  <si>
    <t xml:space="preserve">21.A/7999/015 = 21.A/7100/015 + 21.A/7150/015 + 21.A/7200/015 + 21.A/7270/015 + 21.A/7280/015 </t>
  </si>
  <si>
    <t>If 21.A/7100/010 then 21.A/7100/005 &gt; 0</t>
  </si>
  <si>
    <t>If 21.A/7110/010 then 21.A/7110/005 &gt; 0</t>
  </si>
  <si>
    <t>If 21.A/7120/010 then 21.A/7120/005 &gt; 0</t>
  </si>
  <si>
    <t>If 21.A/7130/010 then 21.A/7130/005 &gt; 0</t>
  </si>
  <si>
    <t>If 21.A/7140/010 then 21.A/7140/005 &gt; 0</t>
  </si>
  <si>
    <t>If 21.A/7150/010 then 21.A/7150/005 &gt; 0</t>
  </si>
  <si>
    <t>If 21.A/7160/010 then 21.A/7160/005 &gt; 0</t>
  </si>
  <si>
    <t>If 21.A/7170/010 then 21.A/7170/005 &gt; 0</t>
  </si>
  <si>
    <t>If 21.A/7180/010 then 21.A/7180/005 &gt; 0</t>
  </si>
  <si>
    <t>If 21.A/7190/010 then 21.A/7190/005 &gt; 0</t>
  </si>
  <si>
    <t>7.B/7100/025 = 7.B/7110/025 + 7.B/7120/025 + 7.B/7130/025</t>
  </si>
  <si>
    <t>7.B/7100/030 = 7.B/7110/030 + 7.B/7120/030 + 7.B/7130/030</t>
  </si>
  <si>
    <t>7.B/7100/035 = 7.B/7110/035 + 7.B/7120/035 + 7.B/7130/035</t>
  </si>
  <si>
    <t>7.B/7140/025 = Sum column 7.B/7150/025 through 7.B/7190/025</t>
  </si>
  <si>
    <t>7.B/7140/030 = Sum column 7.B/7150/030 through 7.B/7190/030</t>
  </si>
  <si>
    <t>7.B/7140/035 = Sum column 7.B/7150/035 through 7.B/7190/035</t>
  </si>
  <si>
    <t>7.B/7200/025 = Sum column 7.B/7210/025 through 7.B/7250/025</t>
  </si>
  <si>
    <t>IFRIC 2.11;  1.86;  32 IE 33</t>
  </si>
  <si>
    <t>Dividend income</t>
  </si>
  <si>
    <t xml:space="preserve"> 18.35 (b)(v)</t>
  </si>
  <si>
    <t>IFRS 7 B5 (e);  39.9</t>
  </si>
  <si>
    <t xml:space="preserve">IFRS 7 B5 (e);  39.9 </t>
  </si>
  <si>
    <t xml:space="preserve"> 1.86;  39.55 (b);  39.9</t>
  </si>
  <si>
    <t>Fee and commission income</t>
  </si>
  <si>
    <t>IFRS 7.20 (c)</t>
  </si>
  <si>
    <t>(Fee and commission expenses)</t>
  </si>
  <si>
    <t>Realised gains (losses) on financial assets &amp; liabilities not measured at fair value through profit or loss, net</t>
  </si>
  <si>
    <t>IFRS 7.20(a)(ii-v)</t>
  </si>
  <si>
    <t xml:space="preserve">Other </t>
  </si>
  <si>
    <t>Gains (losses) on financial assets and liabilities held for trading (net)</t>
  </si>
  <si>
    <t>2.7. Loss (gain) of any curtailments or settlements</t>
  </si>
  <si>
    <t>19.125, 1.75(d)</t>
  </si>
  <si>
    <t>Actual return on plan assets</t>
  </si>
  <si>
    <t>Actual return on reimbursement rights recognised as assets</t>
  </si>
  <si>
    <t>3. Movements in defined benefit plan obligation for defined benefit plan</t>
  </si>
  <si>
    <t>3.1. Defined benefit plan obligation, beginning balance</t>
  </si>
  <si>
    <t xml:space="preserve">4. Principal actuarial assumptions used in defined benefit plans </t>
  </si>
  <si>
    <t>4.1. Discount rates</t>
  </si>
  <si>
    <t>4.2. Expected return on plan assets</t>
  </si>
  <si>
    <t>4.3. Expected rate of salary increases</t>
  </si>
  <si>
    <t>4.4. Future defined benefit increases</t>
  </si>
  <si>
    <t xml:space="preserve">4.5. Expected rate of return on reimbursement rights recognised as assets </t>
  </si>
  <si>
    <t>4.6. Medical cost trend rate</t>
  </si>
  <si>
    <t>42 Defined benefit plans</t>
  </si>
  <si>
    <t>2.4. ( - ) Expected return on reimbursement rights recognised as asset</t>
  </si>
  <si>
    <t>OPERATING ACTIVITIES</t>
  </si>
  <si>
    <t>Net profit (loss)</t>
  </si>
  <si>
    <t xml:space="preserve"> 7.18 b</t>
  </si>
  <si>
    <t>Adjustments to reconcile net profit or loss to net cash provided by operating activities:</t>
  </si>
  <si>
    <t xml:space="preserve"> 7.20</t>
  </si>
  <si>
    <t>12.81 (c) (i)</t>
  </si>
  <si>
    <t>totaux A + B</t>
  </si>
  <si>
    <t xml:space="preserve">36 Profit or loss after tax from Discontinued operations </t>
  </si>
  <si>
    <t>IFRS 5.33bii / 12.81h</t>
  </si>
  <si>
    <t>Reversals</t>
  </si>
  <si>
    <t>Financial assets measured at cost (unquoted equity and related derivatives)</t>
  </si>
  <si>
    <t>8.A/7110/025 = Sum row 8.B/7110/030 through 8.B/7110/040</t>
  </si>
  <si>
    <t>8.A/7120/025 = Sum row 8.B/7120/030 through 8.B/7120/040</t>
  </si>
  <si>
    <t>8.A/7130/025 = Sum row 8.B/7130/030 through 8.B/7130/040</t>
  </si>
  <si>
    <t>8.A/7140/025 = Sum row 8.B/7140/030 through 8.B/7140/040</t>
  </si>
  <si>
    <t>8.A/7150/025 = Sum row 8.B/7150/030 through 8.B/7150/040</t>
  </si>
  <si>
    <t>8.A/7160/025 = Sum row 8.B/7160/030 through 8.B/7160/040</t>
  </si>
  <si>
    <t>8.A/7170/025 = Sum row 8.B/7170/030 through 8.B/7170/040</t>
  </si>
  <si>
    <t>8.A/7180/025 = Sum row 8.B/7180/030 through 8.B/7180/040</t>
  </si>
  <si>
    <t>8.A/7190/025 = Sum row 8.B/7190/030 through 8.B/7190/040</t>
  </si>
  <si>
    <t>21.A/7999/005 = 1.2/7120/005</t>
  </si>
  <si>
    <t>21.B/7999/020 = 21.B/7100/020 + 21.B/7150/020 + 21.B/7200/020 + 21.B/7270/020 + 21.B/7280/020</t>
  </si>
  <si>
    <t>21.B/7999/025 = 21.B/7100/025 + 21.B/7150/025 + 21.B/7200/025 + 21.B/7270/025 + 21.B/7280/025</t>
  </si>
  <si>
    <t>21.B/7999/030 = 21.B/7100/030 + 21.B/7150/030 + 21.B/7200/030 + 21.B/7270/030 + 21.B/7280/030</t>
  </si>
  <si>
    <t>21.B/7200/020 = 21.B/7210/020 + 21.B/7220/020 + 21.B/7230/020 + 21.B/7260/020</t>
  </si>
  <si>
    <t>21.B/7200/025 = 21.B/7210/025 + 21.B/7220/025 + 21.B/7230/025 + 21.B/7260/025</t>
  </si>
  <si>
    <t>21.B/7200/030 = 21.B/7210/030 + 21.B/7220/030 + 21.B/7230/030 + 21.B/7260/030</t>
  </si>
  <si>
    <t>21.B/7100/020 = Sum column 21.B/7110/020 through 21.B/7140/020</t>
  </si>
  <si>
    <t>21.B/7100/025 = Sum column 21.B/7110/025 through 21.B/7140/025</t>
  </si>
  <si>
    <t>21.B/7100/030 = Sum column 21.B/7110/030 through 21.B/7140/030</t>
  </si>
  <si>
    <t>21.B/7150/020 = Sum column 21.B/7160/020 through 21.B/7190/020</t>
  </si>
  <si>
    <t>21.B/7150/025 = Sum column 21.B/7160/025 through 21.B/7190/025</t>
  </si>
  <si>
    <t>21.B/7150/030 = Sum column 21.B/7160/030 through 21.B/7190/030</t>
  </si>
  <si>
    <t>21.B/7230/020 = 21.B/7240/020 + 21.B/7250/020</t>
  </si>
  <si>
    <t>21.B/7230/025 = 21.B/7240/025 + 21.B/7250/025</t>
  </si>
  <si>
    <t>21.B/7230/030 = 21.B/7240/030 + 21.B/7250/030</t>
  </si>
  <si>
    <t>22.A/7100/025 = Sum column 22.A/7110/025 through 22.A/7140/025</t>
  </si>
  <si>
    <t>22.A/7150/025 = Sum row 22.A/7150/005 through 22.A/7150/020</t>
  </si>
  <si>
    <t>22.A/7160/025 = Sum row 22.A/7160/005 through 22.A/7160/020</t>
  </si>
  <si>
    <t>22.A/7170/025 = Sum row 22.A/7170/005 through 22.A/7170/020</t>
  </si>
  <si>
    <t>37.D/7100/005 = Sum column 37.D/7110/005 through 37.D/7190/005</t>
  </si>
  <si>
    <t>37.D/7320/005 = Sum column 37.D/7330/005 through 37.D/7350/005</t>
  </si>
  <si>
    <t>37.D/7100/010 = Sum column 37.D/7110/010 through 37.D/7190/010</t>
  </si>
  <si>
    <t>8.B/7100/030 = Sum column 8.B/7110/030 through 8.B/7150/030</t>
  </si>
  <si>
    <t>8.B/7160/030 = Sum column 8.B/7170/030 through 8.B/7210/030</t>
  </si>
  <si>
    <t>8.B/7299/035 = 8.B/7100/035 + 8.B/7160/035</t>
  </si>
  <si>
    <t>8.B/7100/035 = Sum column 8.B/7110/035 through 8.B/7150/035</t>
  </si>
  <si>
    <t>8.B/7160/035 = Sum column 8.B/7170/035 through 8.B/7210/035</t>
  </si>
  <si>
    <t>8.B/7299/040 = 8.B/7100/040 + 8.B/7160/040</t>
  </si>
  <si>
    <t>8.B/7100/040 = Sum column 8.B/7110/040 through 8.B/7150/040</t>
  </si>
  <si>
    <t>8.B/7160/040 = Sum column 8.B/7170/040 through 8.B/7210/040</t>
  </si>
  <si>
    <t>Cumulative change in fair value recognized in  profit or loss on a sale of investment property  from a pool of assets in which the cost model  is used into a pool in which the fair value  model is used</t>
  </si>
  <si>
    <t>44C Analysis of equity other than income and expenses</t>
  </si>
  <si>
    <t xml:space="preserve">  Profit (Loss) Attributable to equity Holders of Parent</t>
  </si>
  <si>
    <t>Additions from separate acquisition</t>
  </si>
  <si>
    <t>Adjustments from business combinations</t>
  </si>
  <si>
    <t>Retirement &amp; disposals</t>
  </si>
  <si>
    <t>38.118(e)(ii)</t>
  </si>
  <si>
    <t xml:space="preserve">38.118(e)(ii) </t>
  </si>
  <si>
    <t>Amortization recognized</t>
  </si>
  <si>
    <t>38.118(e)(vi)</t>
  </si>
  <si>
    <t>Table A: Assets held under a finance lease as a lessee</t>
  </si>
  <si>
    <t>32.11</t>
  </si>
  <si>
    <t xml:space="preserve">Quoted  </t>
  </si>
  <si>
    <t>39 AG 71</t>
  </si>
  <si>
    <t xml:space="preserve">Unquoted but FV determinable </t>
  </si>
  <si>
    <t>39 AG 80-81</t>
  </si>
  <si>
    <t>Equity instruments at cost</t>
  </si>
  <si>
    <t>39.46 c</t>
  </si>
  <si>
    <t xml:space="preserve">Central governments </t>
  </si>
  <si>
    <t>CRD</t>
  </si>
  <si>
    <t>Credit institutions</t>
  </si>
  <si>
    <t xml:space="preserve">Amount of the change in the fair value of any related credit derivatives or similar instrument2  </t>
  </si>
  <si>
    <t>Unrealised gains (losses) from available-for-sale investments, net</t>
  </si>
  <si>
    <t>Other adjustments</t>
  </si>
  <si>
    <t>Cash flows from operating profits before changes in operating assets and liabilities</t>
  </si>
  <si>
    <t xml:space="preserve"> 7.20 a</t>
  </si>
  <si>
    <t>Increase (decrease) in operating liabilities (excl. cash &amp; cash equivalents):</t>
  </si>
  <si>
    <t>Increase (decrease) in advances from central banks</t>
  </si>
  <si>
    <t>Accrued Expense (if accounted for separately)</t>
  </si>
  <si>
    <t>40.A/7130/025 = Sum row 40.A/7130/005 through 40.A/7130/020</t>
  </si>
  <si>
    <t>40.A/7140/025 = Sum row 40.A/7140/005 through 40.A/7140/020</t>
  </si>
  <si>
    <t>40.A/7150/025 = Sum row 40.A/7150/005 through 40.A/7150/020</t>
  </si>
  <si>
    <t>40.A/7199/025 = Sum row 40.A/7199/005 through 40.A/7199/020</t>
  </si>
  <si>
    <t>40.A/7199/005 = Sum column 40.A/7100/005 through 40.A/7150/005</t>
  </si>
  <si>
    <t>40.A/7199/010 = Sum column 40.A/7100/010 through 40.A/7150/010</t>
  </si>
  <si>
    <t>40.A/7199/015 = Sum column 40.A/7100/015 through 40.A/7150/015</t>
  </si>
  <si>
    <t>40.A/7199/020 = Sum column 40.A/7100/020 through 40.A/7150/020</t>
  </si>
  <si>
    <t>22.A/7280/025 = Sum row 22.B/7280/035 through 22.B/7280/045</t>
  </si>
  <si>
    <t>22.A/7290/025 = Sum row 22.B/7290/035 through 22.B/7290/045</t>
  </si>
  <si>
    <t>Non credit institutions</t>
  </si>
  <si>
    <t xml:space="preserve">Corporate </t>
  </si>
  <si>
    <t>Retail</t>
  </si>
  <si>
    <t>Total</t>
  </si>
  <si>
    <t>Table A Counterparty breakdown</t>
  </si>
  <si>
    <t>Rest of the world</t>
  </si>
  <si>
    <t>Table B Geographical breakdown</t>
  </si>
  <si>
    <t>By nature</t>
  </si>
  <si>
    <t>By type</t>
  </si>
  <si>
    <t>Schéma A ref.</t>
  </si>
  <si>
    <t>Interest rate</t>
  </si>
  <si>
    <t>Option-Cap/Floor/Collar-Swaption</t>
  </si>
  <si>
    <t>322.6</t>
  </si>
  <si>
    <t>IRS</t>
  </si>
  <si>
    <t>322.3</t>
  </si>
  <si>
    <t>FRA</t>
  </si>
  <si>
    <t>322.5</t>
  </si>
  <si>
    <t>Forward</t>
  </si>
  <si>
    <t>322.1</t>
  </si>
  <si>
    <t>Interest future</t>
  </si>
  <si>
    <t>322.4</t>
  </si>
  <si>
    <t>Equity</t>
  </si>
  <si>
    <t>Equity forward</t>
  </si>
  <si>
    <t>323.1</t>
  </si>
  <si>
    <t>Equity future</t>
  </si>
  <si>
    <t>323.3</t>
  </si>
  <si>
    <t>Equity option</t>
  </si>
  <si>
    <t>323.2</t>
  </si>
  <si>
    <t>Warrant</t>
  </si>
  <si>
    <t>323.6</t>
  </si>
  <si>
    <t>Currency (FX)</t>
  </si>
  <si>
    <t>FX forward</t>
  </si>
  <si>
    <t>321.1</t>
  </si>
  <si>
    <t>FX future</t>
  </si>
  <si>
    <t>321.3</t>
  </si>
  <si>
    <t>Cross currency swap</t>
  </si>
  <si>
    <t>321.2</t>
  </si>
  <si>
    <t>FX option</t>
  </si>
  <si>
    <t>321.4</t>
  </si>
  <si>
    <t xml:space="preserve">&lt;Impairment&gt;      </t>
  </si>
  <si>
    <t>Table A:                                    Amounts payable to and amounts receivable from, related parties</t>
  </si>
  <si>
    <t>Servicing fees for securitization activities</t>
  </si>
  <si>
    <t>27 Fee and commission income and expenses</t>
  </si>
  <si>
    <t>Realised gains</t>
  </si>
  <si>
    <t>Realised losses</t>
  </si>
  <si>
    <t>Net</t>
  </si>
  <si>
    <t>IFRS 7.20 (a) (ii); 39.55 (b)</t>
  </si>
  <si>
    <t>1.86</t>
  </si>
  <si>
    <t xml:space="preserve">28 Realised gains (losses) on financial assets and liabilities not measured at fair value through profit or loss, net   </t>
  </si>
  <si>
    <t>Gains</t>
  </si>
  <si>
    <t>Losses</t>
  </si>
  <si>
    <t xml:space="preserve">Amount of change in FV due to changes in the credit risk </t>
  </si>
  <si>
    <t xml:space="preserve">Financial assets designated at fair value through profit or loss </t>
  </si>
  <si>
    <t>Gains (losses), net</t>
  </si>
  <si>
    <t>29 Gains (losses) on financial assets and liabilities designated at fair value through profit or loss, net</t>
  </si>
  <si>
    <t>IFRS 7.20 (a) (i);      39.55 (a)</t>
  </si>
  <si>
    <t>39.86 (a)</t>
  </si>
  <si>
    <t>Carrying amount Liabilities</t>
  </si>
  <si>
    <t xml:space="preserve">Maximum exposure to credit risk </t>
  </si>
  <si>
    <t xml:space="preserve">Amount by which any related credit derivatives mitigate the maximum exposure to credit risk </t>
  </si>
  <si>
    <t xml:space="preserve">Amount of cumulative change in the fair values attributable to changes in the credit risk </t>
  </si>
  <si>
    <t>Deferred tax liabilities</t>
  </si>
  <si>
    <t>IFRS 5.33 (b)i</t>
  </si>
  <si>
    <t>Expenses generated by discontinued operations</t>
  </si>
  <si>
    <t>IFRS 5.33(b)i</t>
  </si>
  <si>
    <t>FX forward rate agreement</t>
  </si>
  <si>
    <t>321.5</t>
  </si>
  <si>
    <t>Credit</t>
  </si>
  <si>
    <t>Credit default swap</t>
  </si>
  <si>
    <t>Credit spread option</t>
  </si>
  <si>
    <t>Total return swap</t>
  </si>
  <si>
    <t>Commodity</t>
  </si>
  <si>
    <t>Carrying amount Assets</t>
  </si>
  <si>
    <t>40.C/7299/025 = Sum row 40.C/7299/005 through 40.C/7299/020</t>
  </si>
  <si>
    <t>41.A/7100/005 = Sum column 41.A/7110/005 through 41.A/7160/005</t>
  </si>
  <si>
    <t>41.A/7100/010 = Sum column 41.A/7110/010 through 41.A/7160/010</t>
  </si>
  <si>
    <t>41.A/7100/015 = Sum column 41.A/7110/015 through 41.A/7160/015</t>
  </si>
  <si>
    <t>41.A/7100/020 = Sum column 41.A/7110/020 through 41.A/7160/020</t>
  </si>
  <si>
    <t>41.A/7100/025 = Sum column 41.A/7110/025 through 41.A/7160/025</t>
  </si>
  <si>
    <t>41.A/7100/030 = Sum column 41.A/7110/030 through 41.A/7160/030</t>
  </si>
  <si>
    <t>33.0/7999/005 = Sum column 33.0/7100/005 through 33.0/7150/005</t>
  </si>
  <si>
    <t>33.0/7999/005 = 2.0/7230/005</t>
  </si>
  <si>
    <t>34.0/7999/005 = Sum column 34.0/7100/005 through 34.0/7140/005</t>
  </si>
  <si>
    <t>34.0/7999/005 = 2.0/7240/005</t>
  </si>
  <si>
    <t>36.0/7210/005 = 36.0/7140/005 + 36.0/7200/005</t>
  </si>
  <si>
    <t>36.0/7120/005 = 36.0/7100/005 - 36.0/7110/005</t>
  </si>
  <si>
    <t>36.0/7140/005 = 36.0/7120/005 - 36.0/7130/005</t>
  </si>
  <si>
    <t>36.0/7180/005 = Sum column 36.0/7150/005 through 36.0/7170/005</t>
  </si>
  <si>
    <t>36.0/7200/005 = 36.0/7180/005 - 36.0/7190/005</t>
  </si>
  <si>
    <t>36.0/7210/005 = 2.0/7799/005</t>
  </si>
  <si>
    <t>37.A/7100/015 = 37.A/7100/005 - 37.A/7100/010</t>
  </si>
  <si>
    <t>37.A/7120/015 = 37.A/7120/005 - 37.A/7120/010</t>
  </si>
  <si>
    <t>37.A/7130/015 = 37.A/7130/005 - 37.A/7130/010</t>
  </si>
  <si>
    <t>37.A/7140/015 = 37.A/7140/005 - 37.A/7140/010</t>
  </si>
  <si>
    <t>37.A/7150/015 = 37.A/7150/005 - 37.A/7150/010</t>
  </si>
  <si>
    <t>37.A/7160/015 = 37.A/7160/005 - 37.A/7160/010</t>
  </si>
  <si>
    <t>37.A/7170/015 = 37.A/7170/005 - 37.A/7170/010</t>
  </si>
  <si>
    <t>37.A/7180/015 = 37.A/7180/005 - 37.A/7180/010</t>
  </si>
  <si>
    <t>37.A/7200/015 = 37.A/7200/005 - 37.A/7200/010</t>
  </si>
  <si>
    <t>37.A/7210/015 = 37.A/7210/005 - 37.A/7210/010</t>
  </si>
  <si>
    <t>37.A/7220/015 = 37.A/7220/005 - 37.A/7220/010</t>
  </si>
  <si>
    <t>37.A/7299/015 = 37.A/7299/005 - 37.A/7299/010</t>
  </si>
  <si>
    <t>37.A/7100/005 = Sum column 37.A/7110/005 through 37.A/7140/005</t>
  </si>
  <si>
    <t>37.A/7100/010 = Sum column 37.A/7120/010 through 37.A/7140/010</t>
  </si>
  <si>
    <t>41.A/7330/035 = sum column 41.A/7340/035 through 41.A/7360/035</t>
  </si>
  <si>
    <t>41.A/7330/040 = sum column 41.A/7340/040 through 41.A/7360/040</t>
  </si>
  <si>
    <t>41.A/7360/005 = 41.A/7370/005 + 41.A/7380/005</t>
  </si>
  <si>
    <t>41.A/7360/010 = 41.A/7370/010 + 41.A/7380/010</t>
  </si>
  <si>
    <t>41.A/7360/015 = 41.A/7370/015 + 41.A/7380/015</t>
  </si>
  <si>
    <t>41.A/7360/020 = 41.A/7370/020 + 41.A/7380/020</t>
  </si>
  <si>
    <t>41.A/7360/025 = 41.A/7370/025 + 41.A/7380/025</t>
  </si>
  <si>
    <t>41.A/7360/030 = 41.A/7370/030 + 41.A/7380/030</t>
  </si>
  <si>
    <t>41.A/7360/035 = 41.A/7370/035 + 41.A/7380/035</t>
  </si>
  <si>
    <t>41.A/7360/040 = 41.A/7370/040 + 41.A/7380/040</t>
  </si>
  <si>
    <t>41.A/7399/005 = 41.A/7300/005 + 41.A/7330/005 + 41.A/7390/005</t>
  </si>
  <si>
    <t>9.A/7170/025 = 9.A/7170/005 + 9.A/7170/010 - 9.A/7170/015 - 9.A/7170/020</t>
  </si>
  <si>
    <t>9.A/7180/025 = 9.A/7180/005 + 9.A/7180/010 - 9.A/7180/015 - 9.A/7180/020</t>
  </si>
  <si>
    <t>9.A/7190/025 = 9.A/7190/005 + 9.A/7190/010 - 9.A/7190/015 - 9.A/7190/020</t>
  </si>
  <si>
    <t>9.A/7200/025 = 9.A/7200/005 + 9.A/7200/010 - 9.A/7200/015 - 9.A/7200/020</t>
  </si>
  <si>
    <t>9.A/7210/025 = 9.A/7210/005 + 9.A/7210/010 - 9.A/7210/015 - 9.A/7210/020</t>
  </si>
  <si>
    <t>If 9.A/7100/010 exists then 9.A/7100/015 or 9.A/7100/020 must exist</t>
  </si>
  <si>
    <t>If 9.A/7110/010 exists then 9.A/7110/015 or 9.A/7110/020 must exist</t>
  </si>
  <si>
    <t>If 9.A/7120/010 exists then 9.A/7120/015 or 9.A/7120/020 must exist</t>
  </si>
  <si>
    <t>If 9.A/7130/010 exists then 9.A/7130/015 or 9.A/7130/020 must exist</t>
  </si>
  <si>
    <t>If 9.A/7140/010 exists then 9.A/7140/015 or 9.A/7140/020 must exist</t>
  </si>
  <si>
    <t>If 9.A/7150/010 exists then 9.A/7150/015 or 9.A/7150/020 must exist</t>
  </si>
  <si>
    <t>If 9.A/7160/010 exists then 9.A/7160/015 or 9.A/7160/020 must exist</t>
  </si>
  <si>
    <t>If 9.A/7170/010 exists then 9.A/7170/015 or 9.A/7170/020 must exist</t>
  </si>
  <si>
    <t>If 9.A/7180/010 exists then 9.A/7180/015 or 9.A/7180/020 must exist</t>
  </si>
  <si>
    <t>(11.A/7165/005  or 11.A/7165/010) and (11.A/7165/015) both exist or neither</t>
  </si>
  <si>
    <t>41.A/7399/010 = 41.A/7300/010 + 41.A/7330/010 + 41.A/7390/010</t>
  </si>
  <si>
    <t>41.A/7399/015 = 41.A/7300/015 + 41.A/7330/015 + 41.A/7390/015</t>
  </si>
  <si>
    <t>41.A/7399/020 = 41.A/7300/020 + 41.A/7330/020 + 41.A/7390/020</t>
  </si>
  <si>
    <t>41.A/7399/025 = 41.A/7300/025 + 41.A/7330/025 + 41.A/7390/025</t>
  </si>
  <si>
    <t>41.A/7399/030 = 41.A/7300/030 + 41.A/7330/030 + 41.A/7390/030</t>
  </si>
  <si>
    <t>41.A/7399/035 = 41.A/7300/035 + 41.A/7330/035 + 41.A/7390/035</t>
  </si>
  <si>
    <t>41.A/7399/040 = 41.A/7300/040 + 41.A/7330/040 + 41.A/7390/040</t>
  </si>
  <si>
    <t>41.A/7100/040 = Sum row 41.A/7100/005 through 41.A/7100/035</t>
  </si>
  <si>
    <t>41.A/7110/040 = Sum row 41.A/7110/005 through 41.A/7110/035</t>
  </si>
  <si>
    <t>41.A/7120/040 = Sum row 41.A/7120/005 through 41.A/7120/035</t>
  </si>
  <si>
    <t>41.A/7130/040 = Sum row 41.A/7130/005 through 41.A/7130/035</t>
  </si>
  <si>
    <t>41.A/7140/040 = Sum row 41.A/7140/005 through 41.A/7140/035</t>
  </si>
  <si>
    <t>41.A/7150/040 = Sum row 41.A/7150/005 through 41.A/7150/035</t>
  </si>
  <si>
    <t>(11.A/7265/005  or 11.A/7265/010) and (11.A/7265/015) both exist or neither</t>
  </si>
  <si>
    <t>(11.A/7270/005  or 11.A/7270/010) and (11.A/7270/015) both exist or neither</t>
  </si>
  <si>
    <t>(11.A/7275/005  or 11.A/7275/010) and (11.A/7275/015) both exist or neither</t>
  </si>
  <si>
    <t>(11.A/7280/005  or 11.A/7280/010) and (11.A/7280/015) both exist or neither</t>
  </si>
  <si>
    <t>(11.A/7285/005  or 11.A/7285/010) and (11.A/7285/015) both exist or neither</t>
  </si>
  <si>
    <t>(11.A/7290/005  or 11.A/7290/010) and (11.A/7290/015) both exist or neither</t>
  </si>
  <si>
    <t>(11.A/7295/005  or 11.A/7295/010) and (11.A/7295/015) both exist or neither</t>
  </si>
  <si>
    <t>(11.A/7300/005  or 11.A/7300/010) and (11.A/7300/015) both exist or neither</t>
  </si>
  <si>
    <t>(11.A/7305/005  or 11.A/7305/010) and (11.A/7305/015) both exist or neither</t>
  </si>
  <si>
    <t>(11.A/7310/005  or 11.A/7310/010) and (11.A/7310/015) both exist or neither</t>
  </si>
  <si>
    <t>(11.A/7315/005  or 11.A/7315/010) and (11.A/7315/015) both exist or neither</t>
  </si>
  <si>
    <t>(11.A/7320/005  or 11.A/7320/010) and (11.A/7320/015) both exist or neither</t>
  </si>
  <si>
    <t>(11.A/7325/005  or 11.A/7325/010) and (11.A/7325/015) both exist or neither</t>
  </si>
  <si>
    <t>(11.A/7330/005  or 11.A/7330/010) and (11.A/7330/015) both exist or neither</t>
  </si>
  <si>
    <t>(11.A/7399/005  or 11.A/7399/010) and (11.A/7399/015) both exist or neither</t>
  </si>
  <si>
    <t>11.A/7219/005 = Sum column 11.A/7100/005 through 11.A/7210/005</t>
  </si>
  <si>
    <t>11.A/7219/010 = Sum column 11.A/7100/010 through 11.A/7210/010</t>
  </si>
  <si>
    <t>11.A/7219/015 = Sum column 11.A/7100/015 through 11.A/7210/015</t>
  </si>
  <si>
    <t>11.A/7399/005 = Sum column 11.A/7220/005 through 11.A/7330/005</t>
  </si>
  <si>
    <t>11.A/7399/010 = Sum column 11.A/7220/010 through 11.A/7330/010</t>
  </si>
  <si>
    <t>11.A/7399/015 = Sum column 11.A/7220/015 through 11.A/7330/015</t>
  </si>
  <si>
    <t>(11.B/7400/005  or 11.B/7400/010) and (11.B/7400/015) both exist or neither</t>
  </si>
  <si>
    <t>(11.B/7410/005  or 11.B/7410/010) and (11.B/7410/015) both exist or neither</t>
  </si>
  <si>
    <t>13.A/7210/005 = Sum column 13.A/7220/005 through 13.A/7230/005</t>
  </si>
  <si>
    <t>13.A/7210/010 = 13.A/7220/010</t>
  </si>
  <si>
    <t>13.A/7210/015 = 13.A/7220/015</t>
  </si>
  <si>
    <t>13.A/7210/020 = Sum column 13.A/7220/020 through 13.A/7230/020</t>
  </si>
  <si>
    <t>13.A/7210/025 = Sum column 13.A/7220/025 through 13.A/7230/025</t>
  </si>
  <si>
    <t>41.B/7699/020 = Sum column 41.B/7610/020 through 41.B/7690/020</t>
  </si>
  <si>
    <t>41.B/7699/025 = Sum column 41.B/7610/025 through 41.B/7690/025</t>
  </si>
  <si>
    <t>41.B/7699/030 = Sum column 41.B/7610/030 through 41.B/7690/030</t>
  </si>
  <si>
    <t>41.B/7699/035 = Sum column 41.B/7610/035 through 41.B/7690/035</t>
  </si>
  <si>
    <t>41.B/7699/040 = Sum column 41.B/7610/040 through 41.B/7690/040</t>
  </si>
  <si>
    <t>41.B/7440/040 = Sum row 41.B/7440/005 through 41.B/7440/035</t>
  </si>
  <si>
    <t>41.B/7450/040 = Sum row 41.B/7450/005 through 41.B/7450/035</t>
  </si>
  <si>
    <t>41.B/7460/040 = Sum row 41.B/7460/005 through 41.B/7460/035</t>
  </si>
  <si>
    <t>41.B/7470/040 = Sum row 41.B/7470/005 through 41.B/7470/035</t>
  </si>
  <si>
    <t>41.B/7480/040 = Sum row 41.B/7480/005 through 41.B/7480/035</t>
  </si>
  <si>
    <t>41.B/7490/040 = Sum row 41.B/7490/005 through 41.B/7490/035</t>
  </si>
  <si>
    <t>41.B/7500/040 = Sum row 41.B/7500/005 through 41.B/7500/035</t>
  </si>
  <si>
    <t>41.B/7510/040 = Sum row 41.B/7510/005 through 41.B/7510/035</t>
  </si>
  <si>
    <t>41.B/7599/040 = Sum row 41.B/7599/005 through 41.B/7599/035</t>
  </si>
  <si>
    <t>41.B/7610/040 = Sum row 41.B/7610/005 through 41.B/7610/035</t>
  </si>
  <si>
    <t>41.B/7620/040 = Sum row 41.B/7620/005 through 41.B/7620/035</t>
  </si>
  <si>
    <t>41.B/7630/040 = Sum row 41.B/7630/005 through 41.B/7630/035</t>
  </si>
  <si>
    <t>41.B/7640/040 = Sum row 41.B/7640/005 through 41.B/7640/035</t>
  </si>
  <si>
    <t>41.B/7650/040 = Sum row 41.B/7650/005 through 41.B/7650/035</t>
  </si>
  <si>
    <t>41.B/7660/040 = Sum row 41.B/7660/005 through 41.B/7660/035</t>
  </si>
  <si>
    <t>41.B/7670/040 = Sum row 41.B/7670/005 through 41.B/7670/035</t>
  </si>
  <si>
    <t>41.B/7680/040 = Sum row 41.B/7680/005 through 41.B/7680/035</t>
  </si>
  <si>
    <t>41.B/7690/040 = Sum row 41.B/7690/005 through 41.B/7690/035</t>
  </si>
  <si>
    <t>41.B/7699/040 = Sum row 41.B/7699/005 through 41.B/7699/035</t>
  </si>
  <si>
    <t>41.B/7710/040 = Sum row 41.B/7710/005 through 41.B/7710/035</t>
  </si>
  <si>
    <t>41.C/7799/005 = Sum column 41.C/7720/005 through 41.C/7760/005</t>
  </si>
  <si>
    <t>45.0/7100/005 = 45.0/7110/005 - 45.0/7120/005</t>
  </si>
  <si>
    <t>45.0/7130/005 = 45.0/7140/005 - 45.0/7150/005 - 45.0/7160/005</t>
  </si>
  <si>
    <t>45.0/7170/005 = 45.0/7180/005 - 45.0/7190/005</t>
  </si>
  <si>
    <t>If 46.A/100/XXX then 46.A/100/005 &amp; 46.A/100/010 &amp; 46.A/100/015 &amp; 46.A/100/020</t>
  </si>
  <si>
    <t>If 46.A/101/XXX then 46.A/101/005 &amp; 46.A/101/010 &amp; 46.A/101/015 &amp; 46.A/101/020</t>
  </si>
  <si>
    <t>13.A/7180/025 = 13.A/7180/005 + 13.A/7180/010 + 13.A/7180/015 + 13.A/7180/020</t>
  </si>
  <si>
    <t>13.A/7190/025 = 13.A/7190/005 + 13.A/7190/010 + 13.A/7190/015 + 13.A/7190/020</t>
  </si>
  <si>
    <t>13.A/7200/025 = 13.A/7200/005 + 13.A/7200/010 + 13.A/7200/015 + 13.A/7200/020</t>
  </si>
  <si>
    <t>Mortgages related deposits</t>
  </si>
  <si>
    <t>schema A 221.7</t>
  </si>
  <si>
    <r>
      <t xml:space="preserve">Share premium </t>
    </r>
    <r>
      <rPr>
        <sz val="11"/>
        <rFont val="Times New Roman"/>
        <family val="1"/>
      </rPr>
      <t xml:space="preserve"> </t>
    </r>
  </si>
  <si>
    <r>
      <t xml:space="preserve">Reserves (including retained earnings) </t>
    </r>
    <r>
      <rPr>
        <sz val="11"/>
        <rFont val="Times New Roman"/>
        <family val="1"/>
      </rPr>
      <t xml:space="preserve"> </t>
    </r>
  </si>
  <si>
    <t>Net Gains (Losses) Not Recognised in Income Statement</t>
  </si>
  <si>
    <t xml:space="preserve"> 12.63 ;  12.62 (b) ;  12.64 </t>
  </si>
  <si>
    <t>Deferred Tax Adjustment</t>
  </si>
  <si>
    <t>Available-for-Sale Reserve Transferred to Income</t>
  </si>
  <si>
    <t>4.7. Other material actuarial assumptions (please specifiy below)</t>
  </si>
  <si>
    <t>Surplus (Deficit) on Revaluation of Assets</t>
  </si>
  <si>
    <t>Cash Flow Hedge Gains (Losses) Transferred to Property, Plant and Equipment</t>
  </si>
  <si>
    <t>Cash Flow Hedge Gains (Losses) Transferred to Non-Financial Assets</t>
  </si>
  <si>
    <t>Cash Flow Hedge Gains (Losses) Transferred to Non-Financial Liabilities</t>
  </si>
  <si>
    <t xml:space="preserve">IFRS CP </t>
  </si>
  <si>
    <t>Transfers (to) from Retained Earnings</t>
  </si>
  <si>
    <t xml:space="preserve">IFRS 5.38 </t>
  </si>
  <si>
    <t>Income Recognised</t>
  </si>
  <si>
    <t>Expense Recognised</t>
  </si>
  <si>
    <t>Other Increase (Decrease) in Equity</t>
  </si>
  <si>
    <t>IFRS CP</t>
  </si>
  <si>
    <t>Closing balance (current year)</t>
  </si>
  <si>
    <t>1.75.e</t>
  </si>
  <si>
    <t>IFRS 7.20 (a)(ii),  39.55 (b)</t>
  </si>
  <si>
    <t xml:space="preserve">Other items </t>
  </si>
  <si>
    <t>1.75 (e)</t>
  </si>
  <si>
    <t>Revaluation reserves and other valuation differences</t>
  </si>
  <si>
    <t>100</t>
  </si>
  <si>
    <t xml:space="preserve">LOAN COMMITMENTS </t>
  </si>
  <si>
    <t xml:space="preserve">– given </t>
  </si>
  <si>
    <t xml:space="preserve">– received </t>
  </si>
  <si>
    <t xml:space="preserve">FINANCIAL GUARANTEES </t>
  </si>
  <si>
    <t>Contingent rents payments recognized as an expense      (17.35c)</t>
  </si>
  <si>
    <t>Sublease payments recognized as an expense     (17.35c)</t>
  </si>
  <si>
    <t>Amount</t>
  </si>
  <si>
    <t>Non-current assets held-for-sale</t>
  </si>
  <si>
    <t>IFRS 7.38 (a)</t>
  </si>
  <si>
    <t>Equity and debt instruments</t>
  </si>
  <si>
    <t xml:space="preserve">26 Other liabilities </t>
  </si>
  <si>
    <t>IFRS 7.20 (c) ; 413.21</t>
  </si>
  <si>
    <t>IFRS 7.20 (c) ; 413.211</t>
  </si>
  <si>
    <t>IFRS 7.20 (c) ; 413.212</t>
  </si>
  <si>
    <t>IFRS 7.20 (c) ; 413.213</t>
  </si>
  <si>
    <t>IFRS 7.20 (c);  413.23</t>
  </si>
  <si>
    <t>IFRS 7.20 (c); 413.23</t>
  </si>
  <si>
    <t>IFRS 7.20 (c) ; 413.1</t>
  </si>
  <si>
    <t>IFRS 7.20 (c) ; 413.22</t>
  </si>
  <si>
    <t>IFRS 7.20 (c)  ; 413.24</t>
  </si>
  <si>
    <t>IFRS 7.20 (c) ; 512.23</t>
  </si>
  <si>
    <t>IFRS 7.20 (c) ; 413.23</t>
  </si>
  <si>
    <t>IFRS 7.20 (c) ; 512.24</t>
  </si>
  <si>
    <r>
      <t>IFRS 7.20 (a) (iv)</t>
    </r>
    <r>
      <rPr>
        <sz val="11"/>
        <rFont val="Times New Roman"/>
        <family val="1"/>
      </rPr>
      <t>; 39.9</t>
    </r>
  </si>
  <si>
    <r>
      <t>IFRS 7.20(a)(iii)</t>
    </r>
    <r>
      <rPr>
        <sz val="11"/>
        <rFont val="Times New Roman"/>
        <family val="1"/>
      </rPr>
      <t>;  39.9</t>
    </r>
  </si>
  <si>
    <r>
      <t>IFRS 7.20(a)(v</t>
    </r>
    <r>
      <rPr>
        <sz val="11"/>
        <rFont val="Times New Roman"/>
        <family val="1"/>
      </rPr>
      <t xml:space="preserve"> ); 39.9</t>
    </r>
  </si>
  <si>
    <r>
      <t>IFRS 7.23 (d)</t>
    </r>
    <r>
      <rPr>
        <sz val="11"/>
        <rFont val="Times New Roman"/>
        <family val="1"/>
      </rPr>
      <t>; 39.101</t>
    </r>
  </si>
  <si>
    <t>9.A/7110/025 = 9.B/7110/030 + 9.B/7110/035 + 9.B/7110/040</t>
  </si>
  <si>
    <t>9.A/7120/025 = 9.B/7120/030 + 9.B/7120/035 + 9.B/7120/040</t>
  </si>
  <si>
    <t>9.A/7130/025 = 9.B/7130/030 + 9.B/7130/035 + 9.B/7130/040</t>
  </si>
  <si>
    <t>9.A/7140/025 = 9.B/7140/030 + 9.B/7140/035 + 9.B/7140/040</t>
  </si>
  <si>
    <t>9.A/7150/025 = 9.B/7150/030 + 9.B/7150/035 + 9.B/7150/040</t>
  </si>
  <si>
    <t>9.A/7160/025 = 9.B/7160/030 + 9.B/7160/035 + 9.B/7160/040</t>
  </si>
  <si>
    <t>9.A/7170/025 = 9.B/7170/030 + 9.B/7170/035 + 9.B/7170/040</t>
  </si>
  <si>
    <t>9.A/7180/025 = 9.B/7180/030 + 9.B/7180/035 + 9.B/7180/040</t>
  </si>
  <si>
    <t>9.A/7190/025 = 9.B/7190/030 + 9.B/7190/035 + 9.B/7190/040</t>
  </si>
  <si>
    <t>9.A/7200/025 = 9.B/7200/030 + 9.B/7200/035 + 9.B/7200/040</t>
  </si>
  <si>
    <t xml:space="preserve">9.B/7999/030 = 9.B/7100/030 + 9.B/7160/030 </t>
  </si>
  <si>
    <t xml:space="preserve">9.B/7999/035 = 9.B/7100/035 + 9.B/7160/035 </t>
  </si>
  <si>
    <t xml:space="preserve">9.B/7999/040 = 9.B/7100/040 + 9.B/7160/040 </t>
  </si>
  <si>
    <t>9.B/7100/030 = Sum column 9.B/7110/030 through 9.B/7150/030</t>
  </si>
  <si>
    <t>9.B/7100/035 = Sum column 9.B/7110/035 through 9.B/7150/035</t>
  </si>
  <si>
    <t>9.B/7100/040 = Sum column 9.B/7110/040 through 9.B/7150/040</t>
  </si>
  <si>
    <t>9.B/7160/030 = Sum column 9.B/7170/030 through 9.B/7210/030</t>
  </si>
  <si>
    <t>9.B/7160/035 = Sum column 9.B/7170/035 through 9.B/7210/035</t>
  </si>
  <si>
    <t>9.B/7160/040 = Sum column 9.B/7170/040 through 9.B/7210/040</t>
  </si>
  <si>
    <t>10.0/7140/005 = Sum column 10.0/7150/005 through 10.0/7190/005</t>
  </si>
  <si>
    <t>10.0/7200/005 = Sum column 10.0/7210/005 through 10.0/7250/005</t>
  </si>
  <si>
    <t>10.0/7250/005 = Sum column 10.0/7260/005 through 10.0/7330/005</t>
  </si>
  <si>
    <t>10.0/7399/005 = 10.0/7140/005 + 10.0/7200/005 + 10.0/7340/005</t>
  </si>
  <si>
    <t>10.0/7140/010 = Sum column 10.0/7150/010 through 10.0/7190/010</t>
  </si>
  <si>
    <t>10.0/7200/010 = Sum column 10.0/7210/010 through 10.0/7250/010</t>
  </si>
  <si>
    <t>10.0/7250/010 = Sum column 10.0/7260/010 through 10.0/7330/010</t>
  </si>
  <si>
    <t>10.0/7399/010 = 10.0/7140/010 + 10.0/7200/010 + 10.0/7340/010</t>
  </si>
  <si>
    <t>10.0/7140/015 = Sum column 10.0/7150/015 through 10.0/7190/015</t>
  </si>
  <si>
    <t>10.0/7200/015 = Sum column 10.0/7210/015 through 10.0/7250/015</t>
  </si>
  <si>
    <t>10.0/7250/015 = Sum column 10.0/7260/015 through 10.0/7330/015</t>
  </si>
  <si>
    <t>Assets 28.37(b)</t>
  </si>
  <si>
    <t>Liabilities 28.37 (b)</t>
  </si>
  <si>
    <t>Reporting date 27.40 (e)</t>
  </si>
  <si>
    <t xml:space="preserve">15 Goodwill and other intangible assets </t>
  </si>
  <si>
    <t>Table A Other intangible assets accounted for by using the revaluation model (IAS 38.75)</t>
  </si>
  <si>
    <t>IFRS 3.51</t>
  </si>
  <si>
    <t>38.57/119(c)</t>
  </si>
  <si>
    <t>38.119(c)</t>
  </si>
  <si>
    <t>– guarantees received</t>
  </si>
  <si>
    <t xml:space="preserve">– credit derivatives received </t>
  </si>
  <si>
    <t>– given to another counterparty :</t>
  </si>
  <si>
    <t xml:space="preserve">– received from another counterparty : </t>
  </si>
  <si>
    <t>7132</t>
  </si>
  <si>
    <t>7134</t>
  </si>
  <si>
    <t>7136</t>
  </si>
  <si>
    <t>7152</t>
  </si>
  <si>
    <t>7154</t>
  </si>
  <si>
    <t>7156</t>
  </si>
  <si>
    <t>7158</t>
  </si>
  <si>
    <t>7159</t>
  </si>
  <si>
    <t>7162</t>
  </si>
  <si>
    <t>7164</t>
  </si>
  <si>
    <t>7166</t>
  </si>
  <si>
    <t>Accrued income (other than interest income from financial assets)</t>
  </si>
  <si>
    <t>Precious metals, goods and commodities</t>
  </si>
  <si>
    <t>Other advances</t>
  </si>
  <si>
    <t>18 Other assets</t>
  </si>
  <si>
    <t>IAS/IFRS or  schema A ref</t>
  </si>
  <si>
    <t xml:space="preserve">Investment Property </t>
  </si>
  <si>
    <t xml:space="preserve">Financial assets </t>
  </si>
  <si>
    <t>Tax assets</t>
  </si>
  <si>
    <t>Financial liabilities</t>
  </si>
  <si>
    <t>Tax liabilities</t>
  </si>
  <si>
    <t>Share capital repayable on demand</t>
  </si>
  <si>
    <t>19 Non-current assets and disposal groups classified as held for sale</t>
  </si>
  <si>
    <t>References</t>
  </si>
  <si>
    <t>Current accounts / overnight deposits</t>
  </si>
  <si>
    <t>ECB/2001/13</t>
  </si>
  <si>
    <t xml:space="preserve">Deposits with agreed maturity </t>
  </si>
  <si>
    <t xml:space="preserve">Deposits redeemable at notice </t>
  </si>
  <si>
    <t xml:space="preserve">Other deposits </t>
  </si>
  <si>
    <t>39 AG 15 (a)</t>
  </si>
  <si>
    <t>(Table 4) </t>
  </si>
  <si>
    <t>Short positions</t>
  </si>
  <si>
    <t>39 AG 15 (b)</t>
  </si>
  <si>
    <t>In equity instruments</t>
  </si>
  <si>
    <t>In fixed income instruments</t>
  </si>
  <si>
    <t>&gt;1 year ≤ 5 years</t>
  </si>
  <si>
    <t>&gt; 5 years</t>
  </si>
  <si>
    <t>39 Leasing: additional information</t>
  </si>
  <si>
    <t>121.7</t>
  </si>
  <si>
    <t xml:space="preserve">121.8 </t>
  </si>
  <si>
    <t>Table C Loans and advances to other than credit institutions</t>
  </si>
  <si>
    <t>39 AG 84-86; IFRS 7.37(b)</t>
  </si>
  <si>
    <t>39 AG 84-90</t>
  </si>
  <si>
    <t>9 Held-to-maturity investments</t>
  </si>
  <si>
    <t>Table B Geographical  breakdown</t>
  </si>
  <si>
    <t>39 AG 84-92</t>
  </si>
  <si>
    <t>IFRS 7.37</t>
  </si>
  <si>
    <t>Debt instruments</t>
  </si>
  <si>
    <t>1.1. Net funded, defined benefit plan obligation (asset)</t>
  </si>
  <si>
    <t>Specific allowances for individually assessed financial assets and Specific allowances for collectively assessed financial assets</t>
  </si>
  <si>
    <t>Allowances for incurred but not reported losses on financial assets</t>
  </si>
  <si>
    <t>(*) e.g. exchange rate differences, business combinations, acquisitions and disposals of subsidiaries, etc.</t>
  </si>
  <si>
    <t>IAS/IFRS  ref.</t>
  </si>
  <si>
    <t>Breakdown in table</t>
  </si>
  <si>
    <t>Total carrying amount</t>
  </si>
  <si>
    <t>Belgium</t>
  </si>
  <si>
    <t>Other EMU</t>
  </si>
  <si>
    <t>Other World</t>
  </si>
  <si>
    <t>If 10.0/7340/040 &gt; 0 then Sum row 10.0/7340/005 through 10.0/7340/035 &gt; 0</t>
  </si>
  <si>
    <t>If 10.0/7399/030 + 10.0/7399/035 &gt; 0 then 10.0/7399/025</t>
  </si>
  <si>
    <t>If 10.0/7100/030 + 10.0/7100/035 &gt; 0 then 10.0/7100/025</t>
  </si>
  <si>
    <t>If 10.0/7110/030 + 10.0/7110/035 &gt; 0 then 10.0/7110/025</t>
  </si>
  <si>
    <t>If 10.0/7120/030 + 10.0/7120/035 &gt; 0 then 10.0/7120/025</t>
  </si>
  <si>
    <t>If 10.0/7130/030 + 10.0/7130/035 &gt; 0 then 10.0/7130/025</t>
  </si>
  <si>
    <t>If 10.0/7140/030 + 10.0/7140/035 &gt; 0 then 10.0/7140/025</t>
  </si>
  <si>
    <t>If 10.0/7150/030 + 10.0/7150/035 &gt; 0 then 10.0/7150/025</t>
  </si>
  <si>
    <t>If 10.0/7160/030 + 10.0/7160/035 &gt; 0 then 10.0/7160/025</t>
  </si>
  <si>
    <t xml:space="preserve">BOTH PARTS OF TABLE 16 A CAN HAVE FROM 0 TO HUNDREDS OF ROWS, </t>
  </si>
  <si>
    <t xml:space="preserve">If 16.A/7101/005 then 16.A/7101/010 &amp; 16.A/7101/015 &amp; 16.A/7101/020 &amp; 16.A/7101/025 &amp; 16.A/7101/035 </t>
  </si>
  <si>
    <t xml:space="preserve">If 16.A/7102/005 then 16.A/7102/010 &amp; 16.A/7102/015 &amp; 16.A/7102/020 &amp; 16.A/7102/025 &amp; 16.A/7102/035 </t>
  </si>
  <si>
    <t xml:space="preserve">If 16.A/7201/005 then 16.A/7201/010 &amp; 16.A/7201/015 &amp; 16.A/7201/020 &amp; 16.A/7201/025 &amp; 16.A/7201/035 </t>
  </si>
  <si>
    <t xml:space="preserve">If 16.A/7202/005 then 16.A/7202/010 &amp; 16.A/7202/015 &amp; 16.A/7202/020 &amp; 16.A/7202/025 &amp; 16.A/7202/035 </t>
  </si>
  <si>
    <t xml:space="preserve">BOTH PARTS OF TABLE 16 B CAN HAVE FROM 0 TO HUNDREDS OF ROWS, </t>
  </si>
  <si>
    <t>17.0/7220/005 = 17.0/7100/005 + 17.0/7130/005 - 17.0/7140/005 + 17.0/7150/005 - 17.0/7160/005 - 17.0/7170/005 - 17.0/7180/005 + 17.0/7190/005 + 17.0/7200/005 + 17.0/7210/005</t>
  </si>
  <si>
    <t>18.0/7999/005 = Sum column 18.0/7100/005 through 18.0/7160/005</t>
  </si>
  <si>
    <t>18.0/7999/005 = 1.1/7250/005</t>
  </si>
  <si>
    <t>If 19.0/7210/010 then 19.0/7210/005 &gt; 0</t>
  </si>
  <si>
    <t>If 19.0/7220/010 then 19.0/7220/005 &gt; 0</t>
  </si>
  <si>
    <t>If 19.0/7230/010 then 19.0/7230/005 &gt; 0</t>
  </si>
  <si>
    <t>If 19.0/7240/010 then 19.0/7240/005 &gt; 0</t>
  </si>
  <si>
    <t>If 19.0/7250/010 then 19.0/7250/005 &gt; 0</t>
  </si>
  <si>
    <t>If 19.0/7260/010 then 19.0/7260/005 &gt; 0</t>
  </si>
  <si>
    <t>If 19.0/7299/010 then 19.0/7299/005 &gt; 0</t>
  </si>
  <si>
    <t>If 19.0/7310/010 then 19.0/7310/005 &gt; 0</t>
  </si>
  <si>
    <t>If 19.0/7320/010 then 19.0/7320/005 &gt; 0</t>
  </si>
  <si>
    <t>If 19.0/7330/010 then 19.0/7330/005 &gt; 0</t>
  </si>
  <si>
    <t>If 19.0/7340/010 then 19.0/7340/005 &gt; 0</t>
  </si>
  <si>
    <t>Cancellation of Treasury Shares</t>
  </si>
  <si>
    <t>Disposal of Assets</t>
  </si>
  <si>
    <t>Conversion of Debt to Equity</t>
  </si>
  <si>
    <t>Cash Dividends Declared</t>
  </si>
  <si>
    <t>Interim Dividends</t>
  </si>
  <si>
    <t>Issuance of Share Dividends</t>
  </si>
  <si>
    <t>Issuance of Non-Cash Dividends</t>
  </si>
  <si>
    <t>Issuance of Bonus Shares</t>
  </si>
  <si>
    <t xml:space="preserve"> 1.97 (b) </t>
  </si>
  <si>
    <t>Capital Reduction</t>
  </si>
  <si>
    <t>Reclassification of Assets</t>
  </si>
  <si>
    <t>Reclassification of Financial Instruments from Equity to Liability</t>
  </si>
  <si>
    <t>Reclassification of Financial Instruments from Liability to Equity</t>
  </si>
  <si>
    <t>Deposits (other than from credit institutions)</t>
  </si>
  <si>
    <t>Debt certificates (including bonds)</t>
  </si>
  <si>
    <t>39 AG 15 (c)</t>
  </si>
  <si>
    <t>Certificates of deposits</t>
  </si>
  <si>
    <t xml:space="preserve">Customer saving certificates (also when dematerialised) </t>
  </si>
  <si>
    <t>CP, schema A 232</t>
  </si>
  <si>
    <t>Bonds</t>
  </si>
  <si>
    <t>Convertible</t>
  </si>
  <si>
    <t>CP, schema A 232.2</t>
  </si>
  <si>
    <t>Non-convertible</t>
  </si>
  <si>
    <t>CP, schema A 233.1</t>
  </si>
  <si>
    <t>Carrying amount IFRS 7.8 (e) (ii)</t>
  </si>
  <si>
    <t>20 Financial liabilities held for trading</t>
  </si>
  <si>
    <t>Other world</t>
  </si>
  <si>
    <t> Table A</t>
  </si>
  <si>
    <t>Amount of cumulative change in fair values attributable to changes in credit risk</t>
  </si>
  <si>
    <t>Profit or loss</t>
  </si>
  <si>
    <t>24.17(a)</t>
  </si>
  <si>
    <t xml:space="preserve">Expenses </t>
  </si>
  <si>
    <t>Other debts</t>
  </si>
  <si>
    <t xml:space="preserve">Fee and commission income </t>
  </si>
  <si>
    <t>Securities</t>
  </si>
  <si>
    <t>Issued</t>
  </si>
  <si>
    <t>Transfer orders</t>
  </si>
  <si>
    <t>Clearing and settlement</t>
  </si>
  <si>
    <t>Trust and fiduciary activities</t>
  </si>
  <si>
    <t>Asset management</t>
  </si>
  <si>
    <t>Custody</t>
  </si>
  <si>
    <t>Other fiduciary transactions</t>
  </si>
  <si>
    <t xml:space="preserve">IFRS 7.20 (c) </t>
  </si>
  <si>
    <t>Loan commitments</t>
  </si>
  <si>
    <t>Payment services</t>
  </si>
  <si>
    <t>Structured Finance</t>
  </si>
  <si>
    <t>Servicing fees from securitization activities</t>
  </si>
  <si>
    <t xml:space="preserve">Fee and commission expenses </t>
  </si>
  <si>
    <t>IFRS7.20 (c)</t>
  </si>
  <si>
    <t>Commissions to agents (acquisition costs)</t>
  </si>
  <si>
    <t>Parent</t>
  </si>
  <si>
    <t>Parent entities with joint control</t>
  </si>
  <si>
    <t>Subsidiaries</t>
  </si>
  <si>
    <t>Associates</t>
  </si>
  <si>
    <t>Joint ventures where the entity is a venturer</t>
  </si>
  <si>
    <t>Key management of the entity or its parent</t>
  </si>
  <si>
    <t>Other related parties</t>
  </si>
  <si>
    <t>24.17(b)</t>
  </si>
  <si>
    <t>24.18 (a)</t>
  </si>
  <si>
    <t>24.18 (b)</t>
  </si>
  <si>
    <r>
      <t>Of which: amount recognised in P&amp;L using a valuation technique during the period</t>
    </r>
    <r>
      <rPr>
        <vertAlign val="superscript"/>
        <sz val="11"/>
        <rFont val="Times New Roman"/>
        <family val="1"/>
      </rPr>
      <t xml:space="preserve">1                        </t>
    </r>
    <r>
      <rPr>
        <sz val="11"/>
        <rFont val="Times New Roman"/>
        <family val="1"/>
      </rPr>
      <t xml:space="preserve">IFRS 7.27(d) </t>
    </r>
  </si>
  <si>
    <r>
      <t>1</t>
    </r>
    <r>
      <rPr>
        <sz val="11"/>
        <rFont val="Times New Roman"/>
        <family val="1"/>
      </rPr>
      <t xml:space="preserve"> Only applied if such valuation technique is based on assumptions that are not supported by prices from</t>
    </r>
  </si>
  <si>
    <t>Carrying amount (if different from fair value)                            IFRS 7.25-26</t>
  </si>
  <si>
    <t>20.A/7250/005 = Sum row 20.B/7250/010 through 20.B/7250/020</t>
  </si>
  <si>
    <t>20.A/7260/005 = Sum row 20.B/7260/010 through 20.B/7260/020</t>
  </si>
  <si>
    <t>20.A/7270/005 = Sum row 20.B/7270/010 through 20.B/7270/020</t>
  </si>
  <si>
    <t>20.A/7280/005 = Sum row 20.B/7280/010 through 20.B/7280/020</t>
  </si>
  <si>
    <t>20.A/7290/005 = Sum row 20.B/7290/010 through 20.B/7290/020</t>
  </si>
  <si>
    <t>20.A/7300/005 = Sum row 20.B/7300/010 through 20.B/7300/020</t>
  </si>
  <si>
    <t>20.A/7310/005 = Sum row 20.B/7310/010 through 20.B/7310/020</t>
  </si>
  <si>
    <t>20.A/7999/005 = 1.2/7110/005</t>
  </si>
  <si>
    <t xml:space="preserve">20.B/7999/010 = 20.B/7100/010 + 20.B/7150/010 + 20.B/7160/010 + 20.B/7190/010 + 20.B/7240/010 + 20.B/7310/010 </t>
  </si>
  <si>
    <t xml:space="preserve">20.B/7999/015 = 20.B/7100/015 + 20.B/7150/015 + 20.B/7160/015 + 20.B/7190/015 + 20.B/7240/015 + 20.B/7310/015 </t>
  </si>
  <si>
    <t xml:space="preserve">20.B/7999/020 = 20.B/7100/020 + 20.B/7150/020 + 20.B/7160/020 + 20.B/7190/020 + 20.B/7240/020 + 20.B/7310/020 </t>
  </si>
  <si>
    <t>20.B/7240/010 = 20.B/7250/010 + 20.B/7260/010 + 20.B/7270/010 + 20.B/7300/010</t>
  </si>
  <si>
    <t>20.B/7240/015 = 20.B/7250/015 + 20.B/7260/015 + 20.B/7270/015 + 20.B/7300/015</t>
  </si>
  <si>
    <t>20.B/7240/020 = 20.B/7250/020 + 20.B/7260/020 + 20.B/7270/020 + 20.B/7300/020</t>
  </si>
  <si>
    <t>20.B/7100/010 = Sum column 20.B/7110/010 through 20.B/7140/010</t>
  </si>
  <si>
    <t>20.B/7100/015 = Sum column 20.B/7110/015 through 20.B/7140/015</t>
  </si>
  <si>
    <t>20.B/7100/020 = Sum column 20.B/7110/020 through 20.B/7140/020</t>
  </si>
  <si>
    <t>20.B/7160/010 = 20.B/7170/010 + 20.B/7180/010</t>
  </si>
  <si>
    <t>24.17(b)ii</t>
  </si>
  <si>
    <t>Guarantees received by the group</t>
  </si>
  <si>
    <t>Provisions for doubtful debts</t>
  </si>
  <si>
    <t>24.17(c)</t>
  </si>
  <si>
    <t>41.B/200/030 &lt;  = 41.A/199/025</t>
  </si>
  <si>
    <t xml:space="preserve">CP </t>
  </si>
  <si>
    <t>Debt certificates including bonds</t>
  </si>
  <si>
    <t>Subordinated liabilities</t>
  </si>
  <si>
    <t>Financial liabilities associated with transferred assets</t>
  </si>
  <si>
    <t>IFRS 7.13 (c-d); IAS 39.31; IAS 39.47(b)</t>
  </si>
  <si>
    <t xml:space="preserve">Fair value changes of the hedged items in a portfolio hedge of interest rate risk </t>
  </si>
  <si>
    <t>39.89A(b)</t>
  </si>
  <si>
    <t>Provisions</t>
  </si>
  <si>
    <t>1.68 (k)</t>
  </si>
  <si>
    <t xml:space="preserve">Tax liabilities </t>
  </si>
  <si>
    <t xml:space="preserve">Other liabilities </t>
  </si>
  <si>
    <t>Share capital repayable on demand ( e.g. cooperative shares)</t>
  </si>
  <si>
    <t xml:space="preserve"> 32 IE 33; IFRIC 2           </t>
  </si>
  <si>
    <t>If 21.A/7120/015 then 21.A/7120/005 &gt; 0</t>
  </si>
  <si>
    <t>If 21.A/7130/015 then 21.A/7130/005 &gt; 0</t>
  </si>
  <si>
    <t>If 21.A/7140/015 then 21.A/7140/005 &gt; 0</t>
  </si>
  <si>
    <t>If 21.A/7150/015 then 21.A/7150/005 &gt; 0</t>
  </si>
  <si>
    <t>If 21.A/7160/015 then 21.A/7160/005 &gt; 0</t>
  </si>
  <si>
    <t>If 21.A/7170/015 then 21.A/7170/005 &gt; 0</t>
  </si>
  <si>
    <t>If 21.A/7180/015 then 21.A/7180/005 &gt; 0</t>
  </si>
  <si>
    <t>If 21.A/7190/015 then 21.A/7190/005 &gt; 0</t>
  </si>
  <si>
    <t>If 21.A/7200/015 then 21.A/7200/005 &gt; 0</t>
  </si>
  <si>
    <t>If 21.A/7210/015 then 21.A/7210/005 &gt; 0</t>
  </si>
  <si>
    <t>If 21.A/7220/015 then 21.A/7220/005 &gt; 0</t>
  </si>
  <si>
    <t>If 21.A/7230/015 then 21.A/7230/005 &gt; 0</t>
  </si>
  <si>
    <t>If 21.A/7240/015 then 21.A/7240/005 &gt; 0</t>
  </si>
  <si>
    <t>If 21.A/7250/015 then 21.A/7250/005 &gt; 0</t>
  </si>
  <si>
    <t>If 21.A/7260/015 then 21.A/7260/005 &gt; 0</t>
  </si>
  <si>
    <t>If 21.A/7270/015 then 21.A/7270/005 &gt; 0</t>
  </si>
  <si>
    <t>If 21.A/7280/015 then 21.A/7280/005 &gt; 0</t>
  </si>
  <si>
    <t>If 21.A/7999/015 then 21.A/7999/005 &gt; 0</t>
  </si>
  <si>
    <t>21.A/7100/005 = Sum row 21.B/7100/020 through 21.B/7100/030</t>
  </si>
  <si>
    <t>21.A/7110/005 = Sum row 21.B/7110/020 through 21.B/7110/030</t>
  </si>
  <si>
    <t>21.A/7120/005 = Sum row 21.B/7120/020 through 21.B/7120/030</t>
  </si>
  <si>
    <t>21.A/7130/005 = Sum row 21.B/7130/020 through 21.B/7130/030</t>
  </si>
  <si>
    <t>21.A/7140/005 = Sum row 21.B/7140/020 through 21.B/7140/030</t>
  </si>
  <si>
    <t>21.A/7150/005 = Sum row 21.B/7150/020 through 21.B/7150/030</t>
  </si>
  <si>
    <t>21.A/7160/005 = Sum row 21.B/7160/020 through 21.B/7160/030</t>
  </si>
  <si>
    <t>21.A/7170/005 = Sum row 21.B/7170/020 through 21.B/7170/030</t>
  </si>
  <si>
    <t>21.A/7180/005 = Sum row 21.B/7180/020 through 21.B/7180/030</t>
  </si>
  <si>
    <t>21.A/7190/005 = Sum row 21.B/7190/020 through 21.B/7190/030</t>
  </si>
  <si>
    <t>Liabilities associated to disposal group of assets (IFRS 5.38)</t>
  </si>
  <si>
    <t>TOTAL DISPOSAL GROUP OF ASSETS</t>
  </si>
  <si>
    <t>16.73(e) (iv)</t>
  </si>
  <si>
    <t xml:space="preserve">Paid in Capital </t>
  </si>
  <si>
    <t xml:space="preserve">Share premium   </t>
  </si>
  <si>
    <t xml:space="preserve">Equity component of compound financial instruments </t>
  </si>
  <si>
    <t xml:space="preserve">Other equity instruments </t>
  </si>
  <si>
    <t>Write-down taken against the allowance</t>
  </si>
  <si>
    <t>Amounts set aside  for estimated probable loan losses</t>
  </si>
  <si>
    <t>Amounts  reversed for estimated probable loan losses</t>
  </si>
  <si>
    <t>Other adjustments (*)</t>
  </si>
  <si>
    <t>Transfers between allowances</t>
  </si>
  <si>
    <t>If 21.A/7200/010 then 21.A/7200/005 &gt; 0</t>
  </si>
  <si>
    <t>If 21.A/7210/010 then 21.A/7210/005 &gt; 0</t>
  </si>
  <si>
    <t>If 21.A/7220/010 then 21.A/7220/005 &gt; 0</t>
  </si>
  <si>
    <t>If 21.A/7230/010 then 21.A/7230/005 &gt; 0</t>
  </si>
  <si>
    <t>If 21.A/7240/010 then 21.A/7240/005 &gt; 0</t>
  </si>
  <si>
    <t>If 21.A/7250/010 then 21.A/7250/005 &gt; 0</t>
  </si>
  <si>
    <t>If 21.A/7260/010 then 21.A/7260/005 &gt; 0</t>
  </si>
  <si>
    <t>If 21.A/7270/010 then 21.A/7270/005 &gt; 0</t>
  </si>
  <si>
    <t>If 21.A/7280/010 then 21.A/7280/005 &gt; 0</t>
  </si>
  <si>
    <t>If 21.A/7999/010 then 21.A/7999/005 &gt; 0</t>
  </si>
  <si>
    <t>If 21.A/7100/015 then 21.A/7100/005 &gt; 0</t>
  </si>
  <si>
    <t>If 21.A/7110/015 then 21.A/7110/005 &gt; 0</t>
  </si>
  <si>
    <t>7.B/7200/030 = Sum column 7.B/7210/030 through 7.B/7250/030</t>
  </si>
  <si>
    <t>7.B/7200/035 = Sum column 7.B/7210/035 through 7.B/7250/035</t>
  </si>
  <si>
    <t>7.B/7999/025 = 7.B/7100/025 + 7.B/7140/025 + 7.B/7200/025</t>
  </si>
  <si>
    <t>7.B/7999/030 = 7.B/7100/030 + 7.B/7140/030 + 7.B/7200/030</t>
  </si>
  <si>
    <t>7.B/7999/035 = 7.B/7100/035 + 7.B/7140/035 + 7.B/7200/035</t>
  </si>
  <si>
    <t>8.A/7100/025 = 8.A/7100/005 + 8.A/7100/010 - 8.A/7100/015 - 8.A/7100/020</t>
  </si>
  <si>
    <t>8.A/7110/025 = 8.A/7110/005 + 8.A/7110/010 - 8.A/7110/015 - 8.A/7110/020</t>
  </si>
  <si>
    <t>8.A/7120/025 = 8.A/7120/005 + 8.A/7120/010 - 8.A/7120/015 - 8.A/7120/020</t>
  </si>
  <si>
    <t>8.A/7130/025 = 8.A/7130/005 + 8.A/7130/010 - 8.A/7130/015 - 8.A/7130/020</t>
  </si>
  <si>
    <t>8.A/7140/025 = 8.A/7140/005 + 8.A/7140/010 - 8.A/7140/015 - 8.A/7140/020</t>
  </si>
  <si>
    <t>8.A/7150/025 = 8.A/7150/005 + 8.A/7150/010 - 8.A/7150/015 - 8.A/7150/020</t>
  </si>
  <si>
    <t>8.A/7160/025 = 8.A/7160/005 + 8.A/7160/010 - 8.A/7160/015 - 8.A/7160/020</t>
  </si>
  <si>
    <t>8.A/7170/025 = 8.A/7170/005 + 8.A/7170/010 - 8.A/7170/015 - 8.A/7170/020</t>
  </si>
  <si>
    <t>8.A/7180/025 = 8.A/7180/005 + 8.A/7180/010 - 8.A/7180/015 - 8.A/7180/020</t>
  </si>
  <si>
    <t>8.A/7190/025 = 8.A/7190/005 + 8.A/7190/010 - 8.A/7190/015 - 8.A/7190/020</t>
  </si>
  <si>
    <t>8.A/7200/025 = 8.A/7200/005 + 8.A/7200/010 - 8.A/7200/015 - 8.A/7200/020</t>
  </si>
  <si>
    <t>8.A/7210/025 = 8.A/7210/005 + 8.A/7210/010 - 8.A/7210/015 - 8.A/7210/020</t>
  </si>
  <si>
    <t>20.B/7160/015 = 20.B/7170/015 + 20.B/7180/015</t>
  </si>
  <si>
    <t>20.B/7160/020 = 20.B/7170/020 + 20.B/7180/020</t>
  </si>
  <si>
    <t>20.B/7190/010 = Sum column 20.B/7200/010 through 20.B/7230/010</t>
  </si>
  <si>
    <t>20.B/7190/015 = Sum column 20.B/7200/015 through 20.B/7230/015</t>
  </si>
  <si>
    <t>20.B/7190/020 = Sum column 20.B/7200/020 through 20.B/7230/020</t>
  </si>
  <si>
    <t>20.B/7270/010 = 20.B/7280/010 + 20.B/7290/010</t>
  </si>
  <si>
    <t>20.B/7270/015 = 20.B/7280/015 + 20.B/7290/015</t>
  </si>
  <si>
    <t>20.B/7270/020 = 20.B/7280/020 + 20.B/7290/020</t>
  </si>
  <si>
    <t>21.A/7100/005 = Sum column 21.A/7110/005 through 21.A/7140/005</t>
  </si>
  <si>
    <t>21.A/7150/005 = Sum column 21.A/7160/005 through 21.A/7190/005</t>
  </si>
  <si>
    <r>
      <t xml:space="preserve">For the lessor                                            </t>
    </r>
    <r>
      <rPr>
        <i/>
        <sz val="11"/>
        <rFont val="Times New Roman"/>
        <family val="1"/>
      </rPr>
      <t>Present value of minimum lease payments receivables</t>
    </r>
  </si>
  <si>
    <r>
      <t xml:space="preserve">For the lessor                                         </t>
    </r>
    <r>
      <rPr>
        <i/>
        <sz val="11"/>
        <rFont val="Times New Roman"/>
        <family val="1"/>
      </rPr>
      <t>Unearned finance income</t>
    </r>
  </si>
  <si>
    <r>
      <t>For the lessor</t>
    </r>
    <r>
      <rPr>
        <i/>
        <sz val="11"/>
        <rFont val="Times New Roman"/>
        <family val="1"/>
      </rPr>
      <t xml:space="preserve">                                          Contingent rents recognized in the income</t>
    </r>
  </si>
  <si>
    <r>
      <t xml:space="preserve">For the lessor                                             </t>
    </r>
    <r>
      <rPr>
        <i/>
        <sz val="11"/>
        <rFont val="Times New Roman"/>
        <family val="1"/>
      </rPr>
      <t>Unguaranteed residual values accruing to the benefit of the lessor</t>
    </r>
  </si>
  <si>
    <r>
      <t xml:space="preserve">For the lessor                                               </t>
    </r>
    <r>
      <rPr>
        <i/>
        <sz val="11"/>
        <rFont val="Times New Roman"/>
        <family val="1"/>
      </rPr>
      <t>Accumulated allowance for uncollectible minimum lease payments</t>
    </r>
  </si>
  <si>
    <r>
      <t xml:space="preserve">Repos                                                                         </t>
    </r>
    <r>
      <rPr>
        <sz val="11"/>
        <rFont val="Times New Roman"/>
        <family val="1"/>
      </rPr>
      <t>No derecognition of transfers of financial assets out of :  (39.37a; 39  AG 51 ; IFRS 7.14)</t>
    </r>
  </si>
  <si>
    <r>
      <t xml:space="preserve">Reverse repos and related agreements                                       </t>
    </r>
    <r>
      <rPr>
        <sz val="11"/>
        <rFont val="Times New Roman"/>
        <family val="1"/>
      </rPr>
      <t>as a transferee when the collateral is sold : (39.37b; 39 AG 51 ; IFRS 7.15(b) )</t>
    </r>
  </si>
  <si>
    <r>
      <t>41 Related party disclosures :</t>
    </r>
    <r>
      <rPr>
        <sz val="12"/>
        <rFont val="Times New Roman"/>
        <family val="1"/>
      </rPr>
      <t xml:space="preserve"> </t>
    </r>
  </si>
  <si>
    <t>TOTAL EXPENSES</t>
  </si>
  <si>
    <t>TOTAL INCOME</t>
  </si>
  <si>
    <r>
      <t xml:space="preserve">Key management Compensations   </t>
    </r>
    <r>
      <rPr>
        <i/>
        <sz val="11"/>
        <rFont val="Times New Roman"/>
        <family val="1"/>
      </rPr>
      <t xml:space="preserve">                        </t>
    </r>
  </si>
  <si>
    <t>24.18 (c)</t>
  </si>
  <si>
    <t>24.18 (d)</t>
  </si>
  <si>
    <t>24.18 (e)</t>
  </si>
  <si>
    <t>24.18 (f)</t>
  </si>
  <si>
    <t>24.18 (g)</t>
  </si>
  <si>
    <t xml:space="preserve">Assets : loans and advances </t>
  </si>
  <si>
    <t xml:space="preserve">Current accounts </t>
  </si>
  <si>
    <t xml:space="preserve">Term loans </t>
  </si>
  <si>
    <t xml:space="preserve">Finance leases </t>
  </si>
  <si>
    <t xml:space="preserve">Trading securities </t>
  </si>
  <si>
    <t>Investment securities</t>
  </si>
  <si>
    <t xml:space="preserve">Other receivables </t>
  </si>
  <si>
    <t>Liabilities : deposits</t>
  </si>
  <si>
    <t xml:space="preserve">Deposits </t>
  </si>
  <si>
    <t>Other borrowings</t>
  </si>
  <si>
    <t xml:space="preserve">Debt certificates </t>
  </si>
  <si>
    <t xml:space="preserve">          Granted</t>
  </si>
  <si>
    <t xml:space="preserve">          Exercised</t>
  </si>
  <si>
    <t xml:space="preserve">Guarantees issued by the group </t>
  </si>
  <si>
    <t>22.A/7180/025 = Sum row 22.A/7180/005 through 22.A/7180/020</t>
  </si>
  <si>
    <t>22.A/7190/025 = Sum row 22.A/7190/005 through 22.A/7190/020</t>
  </si>
  <si>
    <t>22.A/7200/025 = Sum row 22.A/7200/005 through 22.A/7200/020</t>
  </si>
  <si>
    <t>22.A/7210/025 = Sum row 22.A/7210/005 through 22.A/7210/020</t>
  </si>
  <si>
    <t>22.A/7220/025 = Sum row 22.A/7220/005 through 22.A/7220/020</t>
  </si>
  <si>
    <t>22.A/7230/025 = Sum row 22.A/7230/005 through 22.A/7230/020</t>
  </si>
  <si>
    <t>22.A/7240/025 = Sum row 22.A/7240/005 through 22.A/7240/020</t>
  </si>
  <si>
    <t>22.A/7190/005 = Sum column 22.A/7200/005 through 22.A/7240/005</t>
  </si>
  <si>
    <t>37.D/7320/010 = Sum column 37.D/7330/010 through 37.D/7350/010</t>
  </si>
  <si>
    <t>37.E/7999/005 = Sum column 37.E/7100/005 through 37.E/7150/005</t>
  </si>
  <si>
    <t>If 38.0/7100/015 exists then 38.0/7100/010 must exist</t>
  </si>
  <si>
    <t>If 38.0/7110/015 exists then 38.0/7110/010 must exist</t>
  </si>
  <si>
    <t>If 38.0/7120/015 exists then 38.0/7120/010 must exist</t>
  </si>
  <si>
    <t>If 38.0/7130/015 exists then 38.0/7130/010 must exist</t>
  </si>
  <si>
    <t>If 38.0/7140/015 exists then 38.0/7140/010 must exist</t>
  </si>
  <si>
    <t>If 38.0/7150/015 exists then 38.0/7150/010 must exist</t>
  </si>
  <si>
    <t>If 38.0/7160/015 exists then 38.0/7160/010 must exist</t>
  </si>
  <si>
    <t>If 38.0/7170/015 exists then 38.0/7170/010 must exist</t>
  </si>
  <si>
    <t>If 38.0/7180/015 exists then 38.0/7180/010 must exist</t>
  </si>
  <si>
    <t>If 38.0/7190/015 exists then 38.0/7190/010 must exist</t>
  </si>
  <si>
    <t>39.A/7999/010 = Sum column 39.A/7100/010 through 39.A/7120/010</t>
  </si>
  <si>
    <t>39.A/7999/015 = Sum column 39.A/7100/015 through 39.A/7120/015</t>
  </si>
  <si>
    <t>39.A/7999/010 and 39.A/7999/015 both exist or neither</t>
  </si>
  <si>
    <t>39.A/7999/005 &gt;= 13.A/7270/025 + 13.B/7440/025 +14.A/7250/005 +15.A/7230/025 + 15.B/7270/030</t>
  </si>
  <si>
    <t>39.B/7999/030 = Sum column 39.B/7100/030 through 39.B/7120/030</t>
  </si>
  <si>
    <t>39.C/7999/055 = Sum column 39.C/7100/055 through 39.C/7120/055</t>
  </si>
  <si>
    <t>39.D/7999/065 = Sum column 39.D/7100/065 through 39.D/7120/065</t>
  </si>
  <si>
    <t>39.D/7999/070 = Sum column 39.D/7100/070 through 39.D/7120/070</t>
  </si>
  <si>
    <t>If 39.D/7999/070 then 39.D/7999/065</t>
  </si>
  <si>
    <t>40.A/7100/025 = Sum row 40.A/7100/005 through 40.A/7100/020</t>
  </si>
  <si>
    <t>40.A/7110/025 = Sum row 40.A/7110/005 through 40.A/7110/020</t>
  </si>
  <si>
    <t>40.A/7120/025 = Sum row 40.A/7120/005 through 40.A/7120/020</t>
  </si>
  <si>
    <t>Actuarial gains (losses) on defined benefit pension plans</t>
  </si>
  <si>
    <t xml:space="preserve">  Exercice of Options, Rights or Warrrants</t>
  </si>
  <si>
    <t>21.A/7200/005 = Sum row 21.B/7200/020 through 21.B/7200/030</t>
  </si>
  <si>
    <t>21.A/7210/005 = Sum row 21.B/7210/020 through 21.B/7210/030</t>
  </si>
  <si>
    <t>21.A/7220/005 = Sum row 21.B/7220/020 through 21.B/7220/030</t>
  </si>
  <si>
    <t>21.A/7230/005 = Sum row 21.B/7230/020 through 21.B/7230/030</t>
  </si>
  <si>
    <t>21.A/7240/005 = Sum row 21.B/7240/020 through 21.B/7240/030</t>
  </si>
  <si>
    <t>21.A/7250/005 = Sum row 21.B/7250/020 through 21.B/7250/030</t>
  </si>
  <si>
    <t>21.A/7260/005 = Sum row 21.B/7260/020 through 21.B/7260/030</t>
  </si>
  <si>
    <t>21.A/7270/005 = Sum row 21.B/7270/020 through 21.B/7270/030</t>
  </si>
  <si>
    <t>21.A/7280/005 = Sum row 21.B/7280/020 through 21.B/7280/030</t>
  </si>
  <si>
    <t>Trading with treasury Shares</t>
  </si>
  <si>
    <t xml:space="preserve">  Purchase of Treasury Shares</t>
  </si>
  <si>
    <t xml:space="preserve">  Sale of Treasury Shares</t>
  </si>
  <si>
    <t xml:space="preserve">  Transfers of Treasury Shares</t>
  </si>
  <si>
    <t xml:space="preserve">  Cancellation of Treasury Shares</t>
  </si>
  <si>
    <t>Reclasifications</t>
  </si>
  <si>
    <t xml:space="preserve">  Reclassification of Financial Instruments from Equity to Liability</t>
  </si>
  <si>
    <t xml:space="preserve">  Transfers (to) from Retained Earnings</t>
  </si>
  <si>
    <t xml:space="preserve">  Transfers from Share Premium</t>
  </si>
  <si>
    <t xml:space="preserve">  Equity Increase (Decrease) Resulting from Business Combination</t>
  </si>
  <si>
    <t xml:space="preserve">  Other Increase (Decrease) in Equity</t>
  </si>
  <si>
    <t>Acquisitions (disposals) through business combination</t>
  </si>
  <si>
    <t xml:space="preserve"> </t>
  </si>
  <si>
    <t>1.68(m)</t>
  </si>
  <si>
    <t>Deferred tax assets</t>
  </si>
  <si>
    <t>1.68(n)</t>
  </si>
  <si>
    <t xml:space="preserve">Other assets </t>
  </si>
  <si>
    <t>Cash flow hedges (effective portion)</t>
  </si>
  <si>
    <t>IFRS 7.23(c); 39.95-96</t>
  </si>
  <si>
    <t>Available for sale  financial assets</t>
  </si>
  <si>
    <t>39.55(b)</t>
  </si>
  <si>
    <t>IFRS 5.18-19/38</t>
  </si>
  <si>
    <t>Total of future minimum lease payments under non-cancelable operating lease    (17.35a)</t>
  </si>
  <si>
    <t>Total of future minimum sublease payments expected to be received under non-cancelable subleases        (17.35b)</t>
  </si>
  <si>
    <t>Past due IFRS 7.37 (a) IFRS 7 IG 28                                  &gt; 90 days         ≤ 180days</t>
  </si>
  <si>
    <t>Past due IFRS 7.37 (a) IFRS 7 IG 28              &gt; 180 days ≤ 1year</t>
  </si>
  <si>
    <t>Past due IFRS 7.37 (a) IFRS 7 IG 28               &gt; 1year</t>
  </si>
  <si>
    <t>Past due IFRS 7.37 (a) IFRS 7 IG 28                ≤ 90 days</t>
  </si>
  <si>
    <t>IAS/IFRS Ref.</t>
  </si>
  <si>
    <t xml:space="preserve">Total carrying amount </t>
  </si>
  <si>
    <r>
      <t>16 Investments in associates, subsidiaries and joint ventures :</t>
    </r>
    <r>
      <rPr>
        <sz val="12"/>
        <rFont val="Times New Roman"/>
        <family val="1"/>
      </rPr>
      <t xml:space="preserve"> </t>
    </r>
  </si>
  <si>
    <t>Minimum lease payments recognized as an expense         (17.35c)</t>
  </si>
  <si>
    <t>Fair value changes of the hedged item attributable to the hedged risk</t>
  </si>
  <si>
    <t>IFRS 7.24 (a) (ii)</t>
  </si>
  <si>
    <t>Fair value changes of the hedging derivatives (Including discontinuation)</t>
  </si>
  <si>
    <t xml:space="preserve">IFRS 7.24 (a) (i) </t>
  </si>
  <si>
    <t>39.86 (b)</t>
  </si>
  <si>
    <t>Fair value changes of the hedging derivatives – ineffective portion</t>
  </si>
  <si>
    <t>IFRS 7.24 (b)</t>
  </si>
  <si>
    <t>Hedges of net investments in a foreign operation</t>
  </si>
  <si>
    <t>39.86 (c)</t>
  </si>
  <si>
    <t>IFRS 7.24 (c)</t>
  </si>
  <si>
    <t>Fair value hedge of interest rate risk</t>
  </si>
  <si>
    <t xml:space="preserve">Fair value changes of the hedged item </t>
  </si>
  <si>
    <t>Fair value changes of the hedging derivatives</t>
  </si>
  <si>
    <t>On hand (cash)</t>
  </si>
  <si>
    <t xml:space="preserve"> 7.6</t>
  </si>
  <si>
    <t>Cash balances with central banks</t>
  </si>
  <si>
    <t xml:space="preserve"> 7.7</t>
  </si>
  <si>
    <t>Available-for-sale assets</t>
  </si>
  <si>
    <t>Other short term, highly liquid investments</t>
  </si>
  <si>
    <t>(Bank overdrafts which are repayable on demand, if integral part of cash management)</t>
  </si>
  <si>
    <t xml:space="preserve"> 7.8</t>
  </si>
  <si>
    <t>Total cash and cash equivalents at end of the period</t>
  </si>
  <si>
    <t xml:space="preserve"> 1.68 i</t>
  </si>
  <si>
    <t xml:space="preserve"> 7.48</t>
  </si>
  <si>
    <t>Undrawn borrowing facilities (with breakdown if material)</t>
  </si>
  <si>
    <t xml:space="preserve"> 7.50 a</t>
  </si>
  <si>
    <t>Supplemental disclosures of operating cash flow information:</t>
  </si>
  <si>
    <t>Interest income received</t>
  </si>
  <si>
    <t xml:space="preserve"> 7.31</t>
  </si>
  <si>
    <t>Dividend income received</t>
  </si>
  <si>
    <t>Interest expense paid</t>
  </si>
  <si>
    <t>Supplemental disclosures of acquisitions/disposals of subsidiaries</t>
  </si>
  <si>
    <t>Total purchase or disposal consideration</t>
  </si>
  <si>
    <t xml:space="preserve"> 7.40 a</t>
  </si>
  <si>
    <t>Portion of purchase or disposal consideration discharged by means of cash or cash equivalents</t>
  </si>
  <si>
    <t xml:space="preserve"> 7.40 b</t>
  </si>
  <si>
    <t>Amount of cash and cash equivalents in the subsidiaries acquired or disposed</t>
  </si>
  <si>
    <t xml:space="preserve"> 7.40 c</t>
  </si>
  <si>
    <t>Amount of assets and liabilities other than cash or cash equivalents in the subsidiaries acquired or disposed of</t>
  </si>
  <si>
    <t xml:space="preserve"> 7.40 d</t>
  </si>
  <si>
    <t>Schéma A réf.</t>
  </si>
  <si>
    <t>Central governments</t>
  </si>
  <si>
    <t>Bills &amp; own acceptances</t>
  </si>
  <si>
    <t>121.1-2</t>
  </si>
  <si>
    <t>Finance leases</t>
  </si>
  <si>
    <t>121.3 </t>
  </si>
  <si>
    <t> CP</t>
  </si>
  <si>
    <t>Consumer Credit</t>
  </si>
  <si>
    <t>121.4 </t>
  </si>
  <si>
    <t>Mortgage loans</t>
  </si>
  <si>
    <t>121.5</t>
  </si>
  <si>
    <t>Term loans</t>
  </si>
  <si>
    <t>121.6</t>
  </si>
  <si>
    <t>Current accounts</t>
  </si>
  <si>
    <t>22.A/7180/025 = Sum row 22.B/7180/035 through 22.B/7180/045</t>
  </si>
  <si>
    <t>22.A/7190/025 = Sum row 22.B/7190/035 through 22.B/7190/045</t>
  </si>
  <si>
    <t>22.A/7200/025 = Sum row 22.B/7200/035 through 22.B/7200/045</t>
  </si>
  <si>
    <t>22.A/7210/025 = Sum row 22.B/7210/035 through 22.B/7210/045</t>
  </si>
  <si>
    <t>22.A/7220/025 = Sum row 22.B/7220/035 through 22.B/7220/045</t>
  </si>
  <si>
    <t>22.A/7230/025 = Sum row 22.B/7230/035 through 22.B/7230/045</t>
  </si>
  <si>
    <t>22.A/7240/025 = Sum row 22.B/7240/035 through 22.B/7240/045</t>
  </si>
  <si>
    <t>22.A/7250/025 = Sum row 22.B/7250/035 through 22.B/7250/045</t>
  </si>
  <si>
    <t>22.A/7260/025 = Sum row 22.B/7260/035 through 22.B/7260/045</t>
  </si>
  <si>
    <t>22.A/7270/025 = Sum row 22.B/7270/035 through 22.B/7270/045</t>
  </si>
  <si>
    <t>40 Repurchase agreements and reverse repurchase agreements</t>
  </si>
  <si>
    <t>Liabilities (financing obtained)</t>
  </si>
  <si>
    <t>INVESTING ACTIVITIES</t>
  </si>
  <si>
    <t>IFRS 7.20(a)(i);  39.55(a)</t>
  </si>
  <si>
    <t>Equity instruments and related derivatives</t>
  </si>
  <si>
    <t>Increase (decrease) in financial liabilities held for trading</t>
  </si>
  <si>
    <t>Increase (decrease) in financial liabilities designated at fair value through profit or loss</t>
  </si>
  <si>
    <t>(pm Table 35 has been dropped from the 1-aug-2006 proposal)</t>
  </si>
  <si>
    <t>(pm table 12 has been dropped from the 1-aug-2006 proposal)</t>
  </si>
  <si>
    <t>Increase (decrease) in liability-derivatives, hedge accounting</t>
  </si>
  <si>
    <t>Increase (decrease) in other liabilities (definition balance sheet)</t>
  </si>
  <si>
    <t>Cash flow from operating activities</t>
  </si>
  <si>
    <t>Income taxes (paid) refunded</t>
  </si>
  <si>
    <t xml:space="preserve"> 7.35</t>
  </si>
  <si>
    <t>Net cash flow from operating activities</t>
  </si>
  <si>
    <t xml:space="preserve"> 7.10</t>
  </si>
  <si>
    <t>43 Cash flow statement</t>
  </si>
  <si>
    <t>Loans &amp; advances</t>
  </si>
  <si>
    <t>Other financial assets</t>
  </si>
  <si>
    <t xml:space="preserve">Allowances for incurred but not reported losses on financial assets </t>
  </si>
  <si>
    <t xml:space="preserve">Non specifically attributable collaterals </t>
  </si>
  <si>
    <t>10 Information on Impairment and Past due assets</t>
  </si>
  <si>
    <t>Net carrying amount of the impaired assets 39.58-70</t>
  </si>
  <si>
    <t>CP, schema A 233.2</t>
  </si>
  <si>
    <t>Interest expenses</t>
  </si>
  <si>
    <t xml:space="preserve">Foreign exchange </t>
  </si>
  <si>
    <t>Fees and commissions</t>
  </si>
  <si>
    <t>Insurance premiums</t>
  </si>
  <si>
    <t>Rendering of services</t>
  </si>
  <si>
    <t>24.17(a) ; 24.20</t>
  </si>
  <si>
    <t xml:space="preserve">Purchase of goods, property and other assets </t>
  </si>
  <si>
    <t>24.17(a) ) ; 24.20</t>
  </si>
  <si>
    <t xml:space="preserve">Transfers </t>
  </si>
  <si>
    <t>37.A/7100/015 = Sum column 37.A/7110/015 through 37.A/7140/015</t>
  </si>
  <si>
    <t>37.A/7150/005 = 37.A/7160/005 + 37.A/7170/005 + 37.A/7180/005 + 37.A/7210/005 + 37.A/7220/005</t>
  </si>
  <si>
    <t>37.A/7150/010 = 37.A/7160/010 + 37.A/7170/010 + 37.A/7180/010 + 37.A/7210/010 + 37.A/7220/010</t>
  </si>
  <si>
    <t>37.A/7150/015 = 37.A/7160/015 + 37.A/7170/015 + 37.A/7180/015 + 37.A/7210/015 + 37.A/7220/015</t>
  </si>
  <si>
    <t>37.A/7299/005 = 37.A/7100/005 + 37.A/7150/005</t>
  </si>
  <si>
    <t>37.A/7299/010 = 37.A/7100/010 + 37.A/7150/010</t>
  </si>
  <si>
    <t>37.A/7299/015 = 37.A/7100/015 + 37.A/7150/015</t>
  </si>
  <si>
    <t>37.A/7180/005 = 37.A/7190/005 + 37.A/7200/005</t>
  </si>
  <si>
    <t>37.A/7180/010 = 37.A/7200/010</t>
  </si>
  <si>
    <t>37.A/7180/015 = 37.A/7190/015 + 37.A/7200/015</t>
  </si>
  <si>
    <t>37.A/7299/015 = 2.0/7300/005</t>
  </si>
  <si>
    <t>NBBA1</t>
  </si>
  <si>
    <t>NBBA2</t>
  </si>
  <si>
    <t>NBBA3</t>
  </si>
  <si>
    <t>2008-12-31</t>
  </si>
  <si>
    <t>NBBS1</t>
  </si>
  <si>
    <t>NBBS2</t>
  </si>
  <si>
    <t>NBBS3</t>
  </si>
  <si>
    <t>NatureRisksHFT-Equity1</t>
  </si>
  <si>
    <t>NatureRisksHFT-Debt1</t>
  </si>
  <si>
    <t>NatureRisksHFT-Loans1</t>
  </si>
  <si>
    <t>NatureRisksDFV-Equity1</t>
  </si>
  <si>
    <t>NatureRisksDFV-Debt1</t>
  </si>
  <si>
    <t>NatureRisksDFV-Loans1</t>
  </si>
  <si>
    <t>NatureRisksAFS-Equity1</t>
  </si>
  <si>
    <t>NatureRisksAFS-Debt1</t>
  </si>
  <si>
    <t>NatureRisksAFS-Loans1</t>
  </si>
  <si>
    <t>NatureRisksLR-Debt1</t>
  </si>
  <si>
    <t>NatureRisksLR-Loans1</t>
  </si>
  <si>
    <t>NatureRisksHTM-Debt1</t>
  </si>
  <si>
    <t>NatureRisksHTM-Loans1</t>
  </si>
  <si>
    <t>8.C/7399/050 = Sum column 8.C/7300/050 through 8.C/7370/050</t>
  </si>
  <si>
    <t>8.C/7399/055 = Sum column 8.C/7300/055 through 8.C/7370/055</t>
  </si>
  <si>
    <t>8.C/7399/060 = Sum column 8.C/7300/060 through 8.C/7370/060</t>
  </si>
  <si>
    <t>9.A/7100/025 = 9.A/7100/005 + 9.A/7100/010 - 9.A/7100/015 - 9.A/7100/020</t>
  </si>
  <si>
    <t>9.A/7110/025 = 9.A/7110/005 + 9.A/7110/010 - 9.A/7110/015 - 9.A/7110/020</t>
  </si>
  <si>
    <t>9.A/7120/025 = 9.A/71200/005 + 9.A/7120/010 - 9.A/7120/015 - 9.A/7120/020</t>
  </si>
  <si>
    <t>9.A/7130/025 = 9.A/7130/005 + 9.A/7130/010 - 9.A/7130/015 - 9.A/7130/020</t>
  </si>
  <si>
    <t>9.A/7140/025 = 9.A/7140/005 + 9.A/7140/010 - 9.A/7140/015 - 9.A/7140/020</t>
  </si>
  <si>
    <t>9.A/7150/025 = 9.A/7150/005 + 9.A/7150/010 - 9.A/7150/015 - 9.A/7150/020</t>
  </si>
  <si>
    <t>9.A/7160/025 = 9.A/7160/005 + 9.A/7160/010 - 9.A/7160/015 - 9.A/7160/020</t>
  </si>
  <si>
    <t>43.0/7275/005 = 43.0/7180/005 + 43.0/7182/005</t>
  </si>
  <si>
    <t>1.1/7999/005 = 1.1/7100/005 + 1.1/7110/005 + 1.1/7120/005 + 1.1/7130/005 + 1.1/7140/005 + 1.1/7150/005 + 1.1/7160/005 + 1.1/7170/005 + 1.1/7190/005 + 1.1/7220/005 + 1.1/7230/005 + 1.1/7240/005 + 1.1/7250/005 + 1.1/7260/005</t>
  </si>
  <si>
    <t>43.0/7100/005 = 2.0/7999/005</t>
  </si>
  <si>
    <t>43.0/7120/005 = 2.0/7900/005</t>
  </si>
  <si>
    <t>43.0/7135/005 = 2.0/7250/005</t>
  </si>
  <si>
    <t>43.0/7140/005 = 2.0/7318/005 + 2.0/7360/005</t>
  </si>
  <si>
    <t>43.0/7180/005 = 43.0/7100/005 + 43.0/7105/005</t>
  </si>
  <si>
    <t>43.0/7230/005 = sum column 43.0/7235/005 through 43.0/7270/005</t>
  </si>
  <si>
    <t>43.0/7185/005 = sum column 43.0/7190/005 through 43.0/7225/005</t>
  </si>
  <si>
    <t>43.0/7285/005 = 43.0/7275/005 + 43.0/7280/005</t>
  </si>
  <si>
    <t>43.0/7405/005 = - 43.0/7290/005 + 43.0/7295/005 - 43.0/7305/005 + 43.0/7315/005 - 43.0/7325/005 + 43.0/7335/005 - 43.0/7345/005 + 43.0/7355/005 - 43.0/7365/005 + 43.0/7375/005 - 43.0/7385/005 + 43.0/7395/005</t>
  </si>
  <si>
    <t>13.A/7210/025 = 13.A/7210/005 + 13.A/7210/010 + 13.A/7210/015 + 13.A/7210/020</t>
  </si>
  <si>
    <t>13.A/7220/025 = 13.A/7220/005 + 13.A/7220/010 + 13.A/7220/015 + 13.A/7220/020</t>
  </si>
  <si>
    <t> Table B : Geographical breakdown</t>
  </si>
  <si>
    <t>Special deposits</t>
  </si>
  <si>
    <t>schema A 221.5</t>
  </si>
  <si>
    <t>Regulated deposits</t>
  </si>
  <si>
    <t>schema A 221.6</t>
  </si>
  <si>
    <t>13.A/7230/025 = 13.A/7230/005 + 13.A/7230/020</t>
  </si>
  <si>
    <t>13.A/7240/025 = 13.A/7240/005 + 13.A/7240/010 + 13.A/7240/015 + 13.A/7240/020</t>
  </si>
  <si>
    <t>13.A/7250/025 = 13.A/7250/005 + 13.A/7250/010 + 13.A/7250/015 + 13.A/7250/020</t>
  </si>
  <si>
    <t>13.A/7260/025 = 13.A/7260/005 + 13.A/7260/010 + 13.A/7260/015 + 13.A/7260/020</t>
  </si>
  <si>
    <t>13.A/7270/025 = 13.A/7270/005 + 13.A/7270/010 + 13.A/7270/015 + 13.A/7270/020</t>
  </si>
  <si>
    <t>13.A/7280/025 = 13.A/7280/010 + 13.A/7280/015 + 13.A/7280/020</t>
  </si>
  <si>
    <t>13.B/7290/025 = Sum row 13.B/7290/005 through 13.B/7290/020</t>
  </si>
  <si>
    <t>13.B/7300/025 = Sum row 13.B/7300/005 through 13.B/7300/020</t>
  </si>
  <si>
    <t>13.B/7310/025 = Sum row 13.B/7310/005 through 13.B/7310/020</t>
  </si>
  <si>
    <t>13.B/7320/025 = Sum row 13.B/7320/005 through 13.B/7320/020</t>
  </si>
  <si>
    <t>41.A/7160/040 = Sum row 41.A/7160/005 through 41.A/7160/035</t>
  </si>
  <si>
    <t>41.A/7170/040 = Sum row 41.A/7170/005 through 41.A/7170/035</t>
  </si>
  <si>
    <t>41.A/7180/040 = Sum row 41.A/7180/005 through 41.A/7180/035</t>
  </si>
  <si>
    <t>41.A/7190/040 = Sum row 41.A/7190/005 through 41.A/7190/035</t>
  </si>
  <si>
    <t>41.A/7200/040 = Sum row 41.A/7200/005 through 41.A/7200/035</t>
  </si>
  <si>
    <t>41.A/7299/040 = Sum row 41.A/7299/005 through 41.A/7299/035</t>
  </si>
  <si>
    <t>41.A/7300/040 = Sum row 41.A/7300/005 through 41.A/7300/035</t>
  </si>
  <si>
    <t>41.A/7310/040 = Sum row 41.A/7310/005 through 41.A/7310/035</t>
  </si>
  <si>
    <t>41.A/7320/040 = Sum row 41.A/7320/005 through 41.A/7320/035</t>
  </si>
  <si>
    <t>41.A/7330/040 = Sum row 41.A/7330/005 through 41.A/7330/035</t>
  </si>
  <si>
    <t>41.A/7340/040 = Sum row 41.A/7340/005 through 41.A/7340/035</t>
  </si>
  <si>
    <t>41.A/7350/040 = Sum row 41.A/7350/005 through 41.A/7350/035</t>
  </si>
  <si>
    <t>41.A/7360/040 = Sum row 41.A/7360/005 through 41.A/7360/035</t>
  </si>
  <si>
    <t>41.A/7370/040 = Sum row 41.A/7370/005 through 41.A/7370/035</t>
  </si>
  <si>
    <t>41.A/7380/040 = Sum row 41.A/7380/005 through 41.A/7380/035</t>
  </si>
  <si>
    <t>41.A/7390/040 = Sum row 41.A/7390/005 through 41.A/7390/035</t>
  </si>
  <si>
    <t>41.A/7399/040 = Sum row 41.A/7399/005 through 41.A/7399/035</t>
  </si>
  <si>
    <t>41.A/7400/040 = Sum row 41.A/7400/005 through 41.A/7400/035</t>
  </si>
  <si>
    <t>41.A/7410/040 = Sum row 41.A/7410/005 through 41.A/7410/035</t>
  </si>
  <si>
    <t>41.A/7420/040 = Sum row 41.A/7420/005 through 41.A/7420/035</t>
  </si>
  <si>
    <t>41.B/7599/005 = Sum column 41.B/7440/005 through 41.B/7510/005</t>
  </si>
  <si>
    <t>41.B/7599/010 = Sum column 41.B/7440/010 through 41.B/7510/010</t>
  </si>
  <si>
    <t>41.B/7599/015 = Sum column 41.B/7440/015 through 41.B/7510/015</t>
  </si>
  <si>
    <t>41.B/7599/020 = Sum column 41.B/7440/020 through 41.B/7510/020</t>
  </si>
  <si>
    <t>41.B/7599/025 = Sum column 41.B/7440/025 through 41.B/7510/025</t>
  </si>
  <si>
    <t>41.B/7599/030 = Sum column 41.B/7440/030 through 41.B/7510/030</t>
  </si>
  <si>
    <t>41.B/7599/035 = Sum column 41.B/7440/035 through 41.B/7510/035</t>
  </si>
  <si>
    <t>41.B/7599/040 = Sum column 41.B/7440/040 through 41.B/7510/040</t>
  </si>
  <si>
    <t>41.B/7699/005 = Sum column 41.B/7610/005 through 41.B/7690/005</t>
  </si>
  <si>
    <t>41.B/7699/010 = Sum column 41.B/7610/010 through 41.B/7690/010</t>
  </si>
  <si>
    <t>41.B/7699/015 = Sum column 41.B/7610/015 through 41.B/7690/015</t>
  </si>
  <si>
    <t>13.B/7420/025 = 13.B/7290/025 + 13.B/7300/025 + 13.B/7310/025 - 13.B/7320/025 - 13.B/7330/025 - 13.B/7340/025 - 13.B/7350/025 + 13.B/7360/025 + 13.B/7370/025 - 13.B/7380/025 + 13.B/7410/025</t>
  </si>
  <si>
    <t>13.B/7499/025 =  1.1/7200/005</t>
  </si>
  <si>
    <t xml:space="preserve">14.A/7240/005 = 14.A/7100/005 + 14.A/7110/005 + 14.A/7120/005 + 14.A/7130/005 - 14.A/7140/005 - 14.A/7150/005 - 14.A/7160/005 - 14.A/7170/005 + 14.A/7180/005 + 14.A/7190/005 + 14.A/7200/005 -14.A/7210/005 - 14.A/7220/005 + 14.A/7230/005 </t>
  </si>
  <si>
    <t>14.A/7240/005  = 1.1/7210/005</t>
  </si>
  <si>
    <t>14.A/7160/005 = 2.0/7270/005</t>
  </si>
  <si>
    <t>1.1/7210/005 = 14.B/7270/025 - 14.B/7280/025</t>
  </si>
  <si>
    <t>15.A/7100/025 = Sum row 15.A/7100/005 through 15.A/7100/020</t>
  </si>
  <si>
    <t>15.A/7110/025 = Sum row 15.A/7110/005 through 15.A/7110/020</t>
  </si>
  <si>
    <t>15.A/7120/025 = Sum row 15.A/7120/005 through 15.A/7120/020</t>
  </si>
  <si>
    <t>15.A/7130/025 = Sum row 15.A/7130/005 through 15.A/7130/020</t>
  </si>
  <si>
    <t>15.A/7140/025 = Sum row 15.A/7140/005 through 15.A/7140/020</t>
  </si>
  <si>
    <t>15.A/7150/025 = Sum row 15.A/7150/005 through 15.A/7150/020</t>
  </si>
  <si>
    <t>15.A/7160/025 = Sum row 15.A/7160/005 through 15.A/7160/020</t>
  </si>
  <si>
    <t>15.A/7170/025 = Sum row 15.A/7170/005 through 15.A/7170/020</t>
  </si>
  <si>
    <t>15.A/7175/025 = Sum row 15.A/7175/005 through 15.A/7175/020</t>
  </si>
  <si>
    <t>15.A/7180/025 = Sum row 15.A/7180/005 through 15.A/7180/020</t>
  </si>
  <si>
    <t>15.A/7190/025 = Sum row 15.A/7190/005 through 15.A/7190/020</t>
  </si>
  <si>
    <t>15.A/7200/025 = Sum row 15.A/7200/005 through 15.A/7200/020</t>
  </si>
  <si>
    <t>15.A/7210/025 = Sum row 15.A/7210/005 through 15.A/7210/020</t>
  </si>
  <si>
    <t>15.A/7220/025 = Sum row 15.A/7220/005 through 15.A/7220/020</t>
  </si>
  <si>
    <t>15.A/7230/025 = Sum row 15.A/7230/005 through 15.A/7230/020</t>
  </si>
  <si>
    <t>15.A/7240/025 = Sum row 15.A/7240/005 through 15.A/7240/020</t>
  </si>
  <si>
    <t>15.A/7220/005 = 15.A/7100/005 + 15.A/7110/005 + 15.A/7120/005 + 15.A/7130/005 - 15.A/7140/005 - 15.A/7150/005 - 15.A/7160/005 + 15.A/7170/005 + 15.A/7175/005 - 15.A/7180/005 + 15.A/7190/005 + 15.A/7200/005 + 15.A/7210/005</t>
  </si>
  <si>
    <t>If 46.A/102/XXX then 46.A/102/005 &amp; 46.A/102/010 &amp; 46.A/102/015 &amp; 46.A/102/020</t>
  </si>
  <si>
    <t>If 46.A/103/XXX then 46.A/103/005 &amp; 46.A/103/010 &amp; 46.A/103/015 &amp; 46.A/103/020</t>
  </si>
  <si>
    <t>If 46.B/200/XXX then 46.B/200/005 &amp; 46.B/200/010 &amp; 46.B/200/015 &amp; 46.B/200/020</t>
  </si>
  <si>
    <t>If 46.B/201/XXX then 46.B/201/005 &amp; 46.B/201/010 &amp; 46.B/201/015 &amp; 46.B/201/020</t>
  </si>
  <si>
    <t>If 46.B/202/XXX then 46.B/202/005 &amp; 46.B/202/010 &amp; 46.B/202/015 &amp; 46.B/202/020</t>
  </si>
  <si>
    <t>If 46.C/300/XXX then 46.C/300/005 &amp; 46.C/300/010 &amp; 46.C/300/015 &amp; 46.C/300/020 &amp; 46.C/300/025</t>
  </si>
  <si>
    <t>If 46.C/301/XXX then 46.C/301/005 &amp; 46.C/301/010 &amp; 46.C/301/015 &amp; 46.C/301/020 &amp; 46.C/301/025</t>
  </si>
  <si>
    <t>If 46.C/302/XXX then 46.C/302/005 &amp; 46.C/302/010 &amp; 46.C/302/015 &amp; 46.C/302/020 &amp; 46.C/302/025</t>
  </si>
  <si>
    <t>If 9.A/7190/010 exists then 9.A/7190/015 or 9.A/7190/020 must exist</t>
  </si>
  <si>
    <t>If 9.A/7200/010 exists then 9.A/7200/015 or 9.A/7200/020 must exist</t>
  </si>
  <si>
    <t>If 9.A/7210/010 exists then 9.A/7210/015 or 9.A/7210/020 must exist</t>
  </si>
  <si>
    <t>If 9.A/7999/010 exists then 9.A/7999/015 or 9.A/7999/020 must exist</t>
  </si>
  <si>
    <t>9.A/7100/005 = Sum column 9.A/7110/005 through 9.A/7150/005</t>
  </si>
  <si>
    <t>9.A/7100/010 = Sum column 9.A/7110/010 through 9.A/7150/010</t>
  </si>
  <si>
    <t>9.A/7100/015 = Sum column 9.A/7110/015 through 9.A/7150/015</t>
  </si>
  <si>
    <t>9.A/7100/020 = Sum column 9.A/7110/020 through 9.A/7150/020</t>
  </si>
  <si>
    <t>9.A/7100/025 = Sum column 9.A/7110/025 through 9.A/7150/025</t>
  </si>
  <si>
    <t>9.A/7160/005 = Sum column 9.A/7170/005 through 9.A/7210/005</t>
  </si>
  <si>
    <t>9.A/7160/010 = Sum column 9.A/7170/010 through 9.A/7210/010</t>
  </si>
  <si>
    <t>9.A/7160/015 = Sum column 9.A/7170/015 through 9.A/7210/015</t>
  </si>
  <si>
    <t>9.A/7160/020 = Sum column 9.A/7170/020 through 9.A/7210/020</t>
  </si>
  <si>
    <t>9.A/7160/025 = Sum column 9.A/7170/025 through 9.A/7210/025</t>
  </si>
  <si>
    <t xml:space="preserve">9.A/7999/005 = 9.A/7100/005 + 9.A/7160/005 </t>
  </si>
  <si>
    <t xml:space="preserve">9.A/7999/010 = 9.A/7100/010 + 9.A/7160/010 </t>
  </si>
  <si>
    <t xml:space="preserve">9.A/7999/015 = 9.A/7100/015 + 9.A/7160/015 </t>
  </si>
  <si>
    <t xml:space="preserve">9.A/7999/020 = 9.A/7100/020 + 9.A/7160/020 </t>
  </si>
  <si>
    <t>9.A/7999/025 = 1.1/7150/005</t>
  </si>
  <si>
    <t>9.A/7100/025 = 9.B/7100/030 + 9.B/7100/035 + 9.B/7100/040</t>
  </si>
  <si>
    <t>15.B/7299/030 = 1.1/7220/005</t>
  </si>
  <si>
    <t>15.B/7230/005 = 15.B/7100/005 + 15.B/7120/005 - 15.B/7140/005 - 15.B/7150/005 + 15.B/7160/005 - 15.B/7190/005 + 15.B/7210/005 + 15.B/7220/005</t>
  </si>
  <si>
    <t>15.B/7230/010 = 15.B/7100/010 + 15.B/7110/010 + 15.B/7120/010 + 15.B/7130/010 - 15.B/7140/010 - 15.B/7150/010 - 15.B/7170/010  - 15.B/7190/010 + 15.B/7200/010 + 15.B/7210/010 + 15.B/7220/010</t>
  </si>
  <si>
    <t>15.B/7230/015 = 15.B/7100/015 + 15.B/7110/015 + 15.B/7120/015 + 15.B/7130/015 - 15.B/7140/015 - 15.B/7150/015 - 15.B/7170/015  - 15.B/7190/015 + 15.B/7200/015 + 15.B/7210/015 + 15.B/7220/015</t>
  </si>
  <si>
    <t>15.B/7230/020 = 15.B/7100/020 + 15.B/7110/020 + 15.B/7120/020 + 15.B/7130/020 - 15.B/7140/020 - 15.B/7150/020 - 15.B/7170/020  - 15.B/7190/020 + 15.B/7200/020 + 15.B/7210/020 + 15.B/7220/020</t>
  </si>
  <si>
    <t>15.B/7230/025 = 15.B/7100/025 + 15.B/7110/025 + 15.B/7120/025 + 15.B/7130/025 - 15.B/7140/025 - 15.B/7150/025 - 15.B/7170/025  - 15.B/7190/025 + 15.B/7200/025 + 15.B/7210/025 + 15.B/7220/025</t>
  </si>
  <si>
    <t>15.B/7230/030 = 15.B/7100/030 + 15.B/7110/030 + 15.B/7120/030 + 15.B/7130/030 - 15.B/7140/030 - 15.B/7150/030 +15.B/7160/030 - 15.B/7170/030  - 15.B/7190/030 + 15.B/7200/030 + 15.B/7210/030 + 15.B/7220/030</t>
  </si>
  <si>
    <t>3.A/7110/005 = 3.B/7110/010 + 3.B/7110/015 + 3.B/7110/020</t>
  </si>
  <si>
    <t>3.A/7120/005 = 3.B/7120/010 + 3.B/7120/015 + 3.B/7120/020</t>
  </si>
  <si>
    <t>3.A/7130/005 = 3.B/7130/010 + 3.B/7130/015 + 3.B/7130/020</t>
  </si>
  <si>
    <t>3.A/7140/005 = 3.B/7140/010 + 3.B/7140/015 + 3.B/7140/020</t>
  </si>
  <si>
    <t>3.A/7150/005 = 3.B/7150/010 + 3.B/7150/015 + 3.B/7150/020</t>
  </si>
  <si>
    <t>3.A/7160/005 = 3.B/7160/010 + 3.B/7160/015 + 3.B/7160/020</t>
  </si>
  <si>
    <t>3.A/7170/005 = 3.B/7170/010 + 3.B/7170/015 + 3.B/7170/020</t>
  </si>
  <si>
    <t>3.A/7180/005 = 3.B/7180/010 + 3.B/7180/015 + 3.B/7180/020</t>
  </si>
  <si>
    <t>3.A/7190/005 = 3.B/7190/010 + 3.B/7190/015 + 3.B/7190/020</t>
  </si>
  <si>
    <t>3.A/7200/005 = 3.B/7200/010 + 3.B/7200/015 + 3.B/7200/020</t>
  </si>
  <si>
    <t>3.A/7210/005 = 3.B/7210/010 + 3.B/7210/015 + 3.B/7210/020</t>
  </si>
  <si>
    <t>3.A/7220/005 = 3.B/7220/010 + 3.B/7220/015 + 3.B/7220/020</t>
  </si>
  <si>
    <t>3.A/7230/005 = 3.B/7230/010 + 3.B/7230/015 + 3.B/7230/020</t>
  </si>
  <si>
    <t>10.0/7399/015 = 10.0/7140/015 + 10.0/7200/015 + 10.0/7340/015</t>
  </si>
  <si>
    <t>10.0/7140/020 = Sum column 10.0/7150/020 through 10.0/7190/020</t>
  </si>
  <si>
    <t>10.0/7200/020 = Sum column 10.0/7210/020 through 10.0/7250/020</t>
  </si>
  <si>
    <t>10.0/7250/020 = Sum column 10.0/7260/020 through 10.0/7330/020</t>
  </si>
  <si>
    <t>10.0/7399/020 = 10.0/7140/020 + 10.0/7200/020 + 10.0/7340/020</t>
  </si>
  <si>
    <t>10.0/7100/025 = 10.0/7110/025 + 10.0/7120/025 + 10.0/7130/025</t>
  </si>
  <si>
    <t>10.0/7140/025 = Sum column 10.0/7150/025 through 10.0/7190/025</t>
  </si>
  <si>
    <t>10.0/7200/025 = Sum column 10.0/7210/025 through 10.0/7250/025</t>
  </si>
  <si>
    <t>10.0/7250/025 = Sum column 10.0/7260/025 through 10.0/7330/025</t>
  </si>
  <si>
    <t>10.0/7100/030 = 10.0/7110/030 + 10.0/7120/030 + 10.0/7130/030</t>
  </si>
  <si>
    <t>10.0/7140/030 = Sum column 10.0/7150/030 through 10.0/7190/030</t>
  </si>
  <si>
    <t>10.0/7200/030 = Sum column 10.0/7210/030 through 10.0/7250/030</t>
  </si>
  <si>
    <t>10.0/7250/030 = Sum column 10.0/7260/030 through 10.0/7330/030</t>
  </si>
  <si>
    <t>10.0/7399/030 =  10.0/7100/030 + 10.0/7140/030 + 10.0/7200/030 + 10.0/7340/030</t>
  </si>
  <si>
    <t>10.0/7100/035 = 10.0/7110/035 + 10.0/7120/035 + 10.0/7130/035</t>
  </si>
  <si>
    <t>10.0/7140/035 = Sum column 10.0/7150/035 through 10.0/7190/035</t>
  </si>
  <si>
    <t>10.0/7200/035 = Sum column 10.0/7210/035 through 10.0/7250/035</t>
  </si>
  <si>
    <t>10.0/7250/035 = Sum column 10.0/7260/035 through 10.0/7330/035</t>
  </si>
  <si>
    <t>10.0/7399/035 =  10.0/7100/035 + 10.0/7140/035 + 10.0/7200/035 + 10.0/7340/035</t>
  </si>
  <si>
    <t>10.0/7100/040 = 10.0/7110/040 + 10.0/7120/040 + 10.0/7130/040</t>
  </si>
  <si>
    <t>10.0/7399/040 =  10.0/7100/040 + 10.0/7140/040 + 10.0/7200/040 + 10.0/7340/040</t>
  </si>
  <si>
    <t>If 10.0/7100/040 &gt; 0 then Sum row 10.0/7100/025 through 10.0/7100/035 &gt; 0</t>
  </si>
  <si>
    <t>If 10.0/7110/040 &gt; 0 then Sum row 10.0/7110/025 through 10.0/7110/035 &gt; 0</t>
  </si>
  <si>
    <t>If 10.0/7120/040 &gt; 0 then Sum row 10.0/7120/025 through 10.0/7120/035 &gt; 0</t>
  </si>
  <si>
    <t>If 10.0/7130/040 &gt; 0 then Sum row 10.0/7130/025 through 10.0/7130/035 &gt; 0</t>
  </si>
  <si>
    <t>If 10.0/7140/040 &gt; 0 then Sum row 10.0/7140/005 through 10.0/7140/035 &gt; 0</t>
  </si>
  <si>
    <t>If 10.0/7200/040 &gt; 0 then Sum row 10.0/7200/005 through 10.0/7200/035 &gt; 0</t>
  </si>
  <si>
    <t>44.b/8430/005 = 44.b/8440/005 + 44.b/8450/005</t>
  </si>
  <si>
    <t>44.b/8460/005 = 44.b/8470/005 + 44.b/8480/005</t>
  </si>
  <si>
    <t>Increase (decrease) in loans and receivables (including finance leases)</t>
  </si>
  <si>
    <t>if (4.0/7180/005 or 4.0/7180/010) exist, then 4.0/7180/020  must exist</t>
  </si>
  <si>
    <t>if (4.0/7190/005 or 4.0/7190/010) exist, then 4.0/7190/020  must exist</t>
  </si>
  <si>
    <t>if (4.0/7200/005 or 4.0/7200/010) exist, then 4.0/7200/020  must exist</t>
  </si>
  <si>
    <t>if (4.0/7210/005 or 4.0/7210/010) exist, then 4.0/7210/020  must exist</t>
  </si>
  <si>
    <t>if (4.0/7220/005 or 4.0/7220/010) exist, then 4.0/7220/020  must exist</t>
  </si>
  <si>
    <t>if (4.0/7230/005 or 4.0/7230/010) exist, then 4.0/7230/020  must exist</t>
  </si>
  <si>
    <t>if (4.0/7240/005 or 4.0/7240/010) exist, then 4.0/7240/020  must exist</t>
  </si>
  <si>
    <t>if (4.0/7250/005 or 4.0/7250/010) exist, then 4.0/7250/020  must exist</t>
  </si>
  <si>
    <t>if (4.0/7260/005 or 4.0/7260/010) exist, then 4.0/7260/020  must exist</t>
  </si>
  <si>
    <t>if (4.0/7270/005 or 4.0/7270/010) exist, then 4.0/7270/020  must exist</t>
  </si>
  <si>
    <t>if (4.0/7280/005 or 4.0/7280/010) exist, then 4.0/7280/020  must exist</t>
  </si>
  <si>
    <t>if (4.0/7290/005 or 4.0/7290/010) exist, then 4.0/7290/020  must exist</t>
  </si>
  <si>
    <t>if (4.0/7300/005 or 4.0/7300/010) exist, then 4.0/7300/020  must exist</t>
  </si>
  <si>
    <t>if (4.0/7310/005 or 4.0/7310/010) exist, then 4.0/7310/020  must exist</t>
  </si>
  <si>
    <t>if (4.0/7320/005 or 4.0/7320/010) exist, then 4.0/7320/020  must exist</t>
  </si>
  <si>
    <t>6.A/7100/005 = 6.A/7110/005 + 6.A/7120/005</t>
  </si>
  <si>
    <t>6.A/7130/005 = Sum column 6.A/7140/005 through 6.A/7180/005</t>
  </si>
  <si>
    <t>6.A/7130/010 = Sum column 6.A/7140/010 through 6.A/7180/010</t>
  </si>
  <si>
    <t>6.A/7190/005 = Sum column 6.A/7200/005 through 6.A/7240/005</t>
  </si>
  <si>
    <t>6.A/7190/010 = Sum column 6.A/7200/010 through 6.A/7240/010</t>
  </si>
  <si>
    <t>6.A/7999/010 = 6.A/7130/010 + 6.A/7190/010</t>
  </si>
  <si>
    <t>6.A/7100/005 = 6.B/7100/015 + 6.B/7100/020 + 6.B/7100/025</t>
  </si>
  <si>
    <t>6.A/7110/005 = 6.B/7110/015 + 6.B/7110/020 + 6.B/7110/025</t>
  </si>
  <si>
    <t>6.A/7120/005 = 6.B/7120/015 + 6.B/7120/020 + 6.B/7120/025</t>
  </si>
  <si>
    <t>6.A/7130/005 = 6.B/7130/015 + 6.B/7130/020 + 6.B/7130/025</t>
  </si>
  <si>
    <t>6.A/7140/005 = 6.B/7140/015 + 6.B/7140/020 + 6.B/7140/025</t>
  </si>
  <si>
    <t>6.A/7150/005 = 6.B/7150/015 + 6.B/7150/020 + 6.B/7150/025</t>
  </si>
  <si>
    <t>If 19.0/7350/010 then 19.0/7350/005 &gt; 0</t>
  </si>
  <si>
    <t>If 19.0/7399/010 then 19.0/7399/005 &gt; 0</t>
  </si>
  <si>
    <t>19.0/7299/005 = Sum column 19.0/7210/005 through 19.0/7260/005</t>
  </si>
  <si>
    <t>19.0/7299/010 = Sum column 19.0/7210/010 through 19.0/7260/010</t>
  </si>
  <si>
    <t>19.0/7399/005 = Sum column 19.0/7310/005 through 19.0/7350/005</t>
  </si>
  <si>
    <t>19.0/7399/010 = Sum column 19.0/7310/010 through 19.0/7350/010</t>
  </si>
  <si>
    <t>19.0/7399/005 = 1.2/7270/005</t>
  </si>
  <si>
    <t>19.0/7199/005 = Sum column 19.0/7110/005 through 19.0/8160/005</t>
  </si>
  <si>
    <t>19.0/7199/005 + 19.0/7299/005 = 1.1/7260/005</t>
  </si>
  <si>
    <t>20.A/7100/005 = Sum column 20.A/7110/005 through 20.A/7140/005</t>
  </si>
  <si>
    <t>20.A/7160/005 = Sum column 20.A/7170/005 through 20.A/7180/005</t>
  </si>
  <si>
    <t>20.A/7190/005 = Sum column 20.A/7200/005 through 20.A/7230/005</t>
  </si>
  <si>
    <t>20.A/7240/005 = 20.A/7250/005 + 20.a/7260/005 + 20.A/7270/005 + 20.A/7300/005</t>
  </si>
  <si>
    <t>20.A/7270/005 = Sum column 20.A/7280/005 through 20.A/7290/005</t>
  </si>
  <si>
    <t>20.A/7100/005 = Sum row 20.B/7100/010 through 20.B/7100/020</t>
  </si>
  <si>
    <t>20.A/7110/005 = Sum row 20.B/7110/010 through 20.B/7110/020</t>
  </si>
  <si>
    <t>20.A/7120/005 = Sum row 20.B/7120/010 through 20.B/7120/020</t>
  </si>
  <si>
    <t>20.A/7130/005 = Sum row 20.B/7130/010 through 20.B/7130/020</t>
  </si>
  <si>
    <t>20.A/7140/005 = Sum row 20.B/7140/010 through 20.B/7140/020</t>
  </si>
  <si>
    <t>20.A/7150/005 = Sum row 20.B/7150/010 through 20.B/7150/020</t>
  </si>
  <si>
    <t>20.A/7160/005 = Sum row 20.B/7160/010 through 20.B/7160/020</t>
  </si>
  <si>
    <t>20.A/7170/005 = Sum row 20.B/7170/010 through 20.B/7170/020</t>
  </si>
  <si>
    <t>20.A/7180/005 = Sum row 20.B/7180/010 through 20.B/7180/020</t>
  </si>
  <si>
    <t>20.A/7190/005 = Sum row 20.B/7190/010 through 20.B/7190/020</t>
  </si>
  <si>
    <t>20.A/7200/005 = Sum row 20.B/7200/010 through 20.B/7200/020</t>
  </si>
  <si>
    <t>20.A/7210/005 = Sum row 20.B/7210/010 through 20.B/7210/020</t>
  </si>
  <si>
    <t>20.A/7220/005 = Sum row 20.B/7220/010 through 20.B/7220/020</t>
  </si>
  <si>
    <t>20.A/7230/005 = Sum row 20.B/7230/010 through 20.B/7230/020</t>
  </si>
  <si>
    <t>20.A/7240/005 = Sum row 20.B/7240/010 through 20.B/7240/020</t>
  </si>
  <si>
    <t>7.A/7160/015 = 7.A/7160/005 + 7.A/7160/010</t>
  </si>
  <si>
    <t>7.A/7170/015 = 7.A/7170/005 + 7.A/7170/010</t>
  </si>
  <si>
    <t>7.A/7180/015 = 7.A/7180/005 + 7.A/7180/010</t>
  </si>
  <si>
    <t>7.A/7190/015 = 7.A/7190/005 + 7.A/7190/010</t>
  </si>
  <si>
    <t>7.A/7200/015 = 7.A/7200/005 + 7.A/7200/010</t>
  </si>
  <si>
    <t>7.A/7210/015 = 7.A/7210/005 + 7.A/7210/010</t>
  </si>
  <si>
    <t>7.A/7220/015 = 7.A/7220/005 + 7.A/7220/010</t>
  </si>
  <si>
    <t>7.A/7230/015 = 7.A/7230/005 + 7.A/7230/010</t>
  </si>
  <si>
    <t>7.A/7240/015 = 7.A/7240/005 + 7.A/7240/010</t>
  </si>
  <si>
    <t>7.A/7250/015 = 7.A/7250/005 + 7.A/7250/010</t>
  </si>
  <si>
    <t>7.A/7100/005 = 7.A/7110/005 + 7.A/7120/005 + 7.A/7130/005</t>
  </si>
  <si>
    <t>7.A/7140/005 = Sum column 7.A/7150/005 through 7.A/7190/005</t>
  </si>
  <si>
    <t>7.A/7200/005 = Sum column 7.A/7210/005 through 7.A/7250/005</t>
  </si>
  <si>
    <t>7.A/7100/010 = 7.A/7110/010 + 7.A/7120/010 + 7.A/7130/010</t>
  </si>
  <si>
    <t>7.A/7140/010 = Sum column 7.A/7150/010 through 7.A/7190/010</t>
  </si>
  <si>
    <t>7.A/7200/010 = Sum column 7.A/7210/010 through 7.A/7250/010</t>
  </si>
  <si>
    <t>7.A/7140/015 = Sum column 7.A/7150/015 through 7.A/7190/015</t>
  </si>
  <si>
    <t>7.A/7200/015 = Sum column 7.A/7210/015 through 7.A/7250/015</t>
  </si>
  <si>
    <t>7.A/7140/020 = Sum column 7.A/7150/020 through 7.A/7190/020</t>
  </si>
  <si>
    <t>7.A/7200/020 = Sum column 7.A/7210/020 through 7.A/7250/020</t>
  </si>
  <si>
    <t>7.A/7100/015 = 7.B/7100/025 + 7.B/7100/030 + 7.B/7100/035</t>
  </si>
  <si>
    <t>7.A/7110/015 = 7.B/7110/025 + 7.B/7110/030 + 7.B/7110/035</t>
  </si>
  <si>
    <t>7.A/7120/015 = 7.B/7120/025 + 7.B/7120/030 + 7.B/7120/035</t>
  </si>
  <si>
    <t>7.A/7130/015 = 7.B/7130/025 + 7.B/7130/030 + 7.B/130/035</t>
  </si>
  <si>
    <t>7.A/7140/015 = 7.B/7140/025 + 7.B/7140/030 + 7.B/7140/035</t>
  </si>
  <si>
    <t>7.A/7150/015 = 7.B/7150/025 + 7.B/7150/030 + 7.B/7150/035</t>
  </si>
  <si>
    <t>7.A/7160/015 = 7.B/7160/025 + 7.B/7160/030 + 7.B/7160/035</t>
  </si>
  <si>
    <t>7.A/7170/015 = 7.B/7170/025 + 7.B/7170/030 + 7.B/7170/035</t>
  </si>
  <si>
    <t>7.A/7190/015 = 7.B/7190/025 + 7.B/7190/030 + 7.B/7190/035</t>
  </si>
  <si>
    <t>7.A/7200/015 = 7.B/7200/025 + 7.B/7200/030 + 7.B/7200/035</t>
  </si>
  <si>
    <t>7.A/7210/015 = 7.B/7210/025 + 7.B/7210/030 + 7.B/7210/035</t>
  </si>
  <si>
    <t>21.A/7230/005 = Sum column 21.A/7240/005 through 21.A/7250/005</t>
  </si>
  <si>
    <t xml:space="preserve">21.A/7200/005 = 21.A/7210/005 + 21.A/7220/005 + 21.A/7230/005 + 21.A/7260/005 </t>
  </si>
  <si>
    <t>21.A/7100/010 = Sum column 21.A/7110/010 through 21.A/7140/010</t>
  </si>
  <si>
    <r>
      <t xml:space="preserve">2 </t>
    </r>
    <r>
      <rPr>
        <sz val="11"/>
        <rFont val="Times New Roman"/>
        <family val="1"/>
      </rPr>
      <t>Included in 'Staff costs'</t>
    </r>
  </si>
  <si>
    <t>1.6. Fair value of any right to reimbursement recognised as an asset</t>
  </si>
  <si>
    <r>
      <t xml:space="preserve">2. Expense recognised in profit or loss, total </t>
    </r>
    <r>
      <rPr>
        <b/>
        <vertAlign val="superscript"/>
        <sz val="11"/>
        <rFont val="Times New Roman"/>
        <family val="1"/>
      </rPr>
      <t>2</t>
    </r>
  </si>
  <si>
    <t>7.A/7100/015 = 7.A/7110/015 + 7.A/7120/015 + 7.A/7130/015</t>
  </si>
  <si>
    <t>7.A/7100/020 = 7.A/7110/020 + 7.A/7120/020 + 7.A/7130/020</t>
  </si>
  <si>
    <t>8.A/7299/025 = 1.1/7140/005</t>
  </si>
  <si>
    <t>8.C/7399/045 = Sum column 8.C/7300/045 through 8.C/7370/045</t>
  </si>
  <si>
    <t>10.0/7399/025 =  10.0/7100/025 + 10.0/7140/025 + 10.0/7200/025 + 10.0/7340/025</t>
  </si>
  <si>
    <t>15.B/7280/030 = Sum row 15.B/7280/010 through 15.B/7280/025</t>
  </si>
  <si>
    <t xml:space="preserve">If 16.B/7301/005 then 16.B/7301/010 &amp; 16.B/7301/015 &amp; 16.B/7301/020 &amp; 16.B/7301/025 &amp; 16.B/7301/035 </t>
  </si>
  <si>
    <t xml:space="preserve">If 16.B/7302/005 then 16.B/7302/010 &amp; 16.B/7302/015 &amp; 16.B/7302/020 &amp; 16.B/7302/025 &amp; 16.B/7302/035 </t>
  </si>
  <si>
    <t xml:space="preserve">If 16.B/7401/005 then 16.B/7401/010 &amp; 16.B/7401/015 &amp; 16.B/7401/020 &amp; 16.B/7401/025 &amp; 16.B/7401/035 </t>
  </si>
  <si>
    <t xml:space="preserve">If 16.B/7402/005 then 16.B/7402/010 &amp; 16.B/7402/015 &amp; 16.B/7402/020 &amp; 16.B/7402/025 &amp; 16.B/7402/035 </t>
  </si>
  <si>
    <t>22.B/7100/040 = Sum column 22.B/7110/040 through 22.B/7140/040</t>
  </si>
  <si>
    <t>22.B/7100/045 = Sum column 22.B/7110/045 through 22.B/7140/045</t>
  </si>
  <si>
    <t>22.B/7150/045 = Sum column 22.B/7160/045 through 22.B/7190/045</t>
  </si>
  <si>
    <t>3.A/7800/005 = 0 or doesn't exist</t>
  </si>
  <si>
    <t>3.A/7900/005 = 3.B/7999/010 + 3.B/7999/015 + 3.B/7999/020</t>
  </si>
  <si>
    <t xml:space="preserve">4.0/7999/005 = 3.A/7100/005 </t>
  </si>
  <si>
    <t>6.A/7800/005 = 0 or doesn't exist</t>
  </si>
  <si>
    <t xml:space="preserve">6.A/7999/005 = 6.A/7100/005 + 6.A/7130/005 + 6.A/7190/005 </t>
  </si>
  <si>
    <t>6.B/7999/015 = 1.1/7120/010</t>
  </si>
  <si>
    <t>6.B/7999/020 = 1.1/7120/015</t>
  </si>
  <si>
    <t>6.B/7999/025 = 1.1/7120/020</t>
  </si>
  <si>
    <t>7.A/7800/015 = 0 or doesn't exist</t>
  </si>
  <si>
    <t xml:space="preserve">7.A/7999/015 = 7.B/7999/025 + 7.B/7999/030 + 7.B/7999/035 </t>
  </si>
  <si>
    <t>7.B/7999/035 = 1.1/7130/020</t>
  </si>
  <si>
    <t>7.B/7999/030 = 1.1/7130/015</t>
  </si>
  <si>
    <t>7.B/7999/025 = 1.1/7130/010</t>
  </si>
  <si>
    <t>8.B/7299/040 = 1.1/7140/020</t>
  </si>
  <si>
    <t>8.B/7299/035 = 1.1/7140/015</t>
  </si>
  <si>
    <t>8.B/7299/030 = 1.1/7140/010</t>
  </si>
  <si>
    <t xml:space="preserve">8.A/7299/025 = Sum row 8.B/7299/030 through 8.B/7299/040 </t>
  </si>
  <si>
    <t xml:space="preserve">8.A/7299/025 = 8.A/7100/025 + 8.A/7160/025 </t>
  </si>
  <si>
    <t xml:space="preserve">7.A/7999/015 = 7.A/7100/015 + 7.A/7140/015 + 7.A/7200/015 </t>
  </si>
  <si>
    <t xml:space="preserve">8.A/7299/025 = 8.A/7299/005 + 8.A/7299/010 - 8.A/7299/015 - 8.A/7299/020 </t>
  </si>
  <si>
    <t xml:space="preserve">7.A/7999/015 = 7.A/7999/005 + 7.A/7999/010 </t>
  </si>
  <si>
    <t>9.A/7250/025 = 0 or doesn't exist</t>
  </si>
  <si>
    <t>8.A/7250/025 = 0 or doesn't exist</t>
  </si>
  <si>
    <t xml:space="preserve">9.A/7999/025 = 9.A/7999/005 + 9.A/7999/010 - 9.A/7999/015 - 9.A/7999/020 </t>
  </si>
  <si>
    <t xml:space="preserve">9.A/7999/025 = 9.A/7100/025 + 9.A/7160/025 </t>
  </si>
  <si>
    <t xml:space="preserve">9.A/7999/025 = 9.B/7999/030 + 9.B/7999/035 + 9.B/7999/040 </t>
  </si>
  <si>
    <t>9.B/7999/030 = 1.1/7150/010</t>
  </si>
  <si>
    <t>9.B/7999/035 = 1.1/7150/015</t>
  </si>
  <si>
    <t>9.B/7999/040 = 1.1/7150/020</t>
  </si>
  <si>
    <t xml:space="preserve">20.A/7999/005 = 20.A/7100/005 + 20.A/7150/005 + 20.A/7160/005 + 20.A/7190/005 + 20.A/7240/005 + 20.A/7310/005 </t>
  </si>
  <si>
    <t xml:space="preserve">20.A/7999/005 = Sum row 20.B/7999/010 through 20.B/7999/020 </t>
  </si>
  <si>
    <t>20.A/7800/005 = 0 or doesn't exist</t>
  </si>
  <si>
    <t>21.A/7999/005 = 21.A/7100/005 + 21.A/7150/005 + 21.A/7200/005 + 21.A/7270/005 + 21.A/7280/005</t>
  </si>
  <si>
    <t>21.A/7999/005 = Sum row 21.B/7999/020 through 21.B/7999/030</t>
  </si>
  <si>
    <t>21.A/7800/005 = 0 or doesn't exist</t>
  </si>
  <si>
    <t>22.A/7800/025 = 0 or doesn't exist</t>
  </si>
  <si>
    <t xml:space="preserve">22.A/7999/025 = 22.A/7100/025 + 22.A7150/025 + 22.A/7250/025 + 22.A/7320/025 + 22.A/7330/025 </t>
  </si>
  <si>
    <t xml:space="preserve">22.A/7999/025 = Sum row 22.B/7999/035 through 22.B/7999/045 </t>
  </si>
  <si>
    <t xml:space="preserve">3.A/7900/005 = 3.A/7100/005 + 3.A/7110/005 + 3.A/7150/005 + 3.A/7210/005 </t>
  </si>
  <si>
    <t>4.0/7500/005 = 0 or doesn't exist</t>
  </si>
  <si>
    <t>4.0/7500/010 = 0 or doesn't exist</t>
  </si>
  <si>
    <t>3.B/7999/010 = 1.1/7110/010</t>
  </si>
  <si>
    <t>3.B/7999/015 = 1.1/7110/015</t>
  </si>
  <si>
    <t>3.B/7999/020 = 1.1/7110/020</t>
  </si>
  <si>
    <t xml:space="preserve">4.0/7999/010 = 20.A/7150/005 </t>
  </si>
  <si>
    <t>Modified</t>
  </si>
  <si>
    <t>4.0/7999/005 = Sum column 4.0/7100/005 through 4.0/7320/005</t>
  </si>
  <si>
    <t>4.0/7999/010 = Sum column 4.0/7100/010 through 4.0/7320/010</t>
  </si>
</sst>
</file>

<file path=xl/styles.xml><?xml version="1.0" encoding="utf-8"?>
<styleSheet xmlns="http://schemas.openxmlformats.org/spreadsheetml/2006/main">
  <numFmts count="4">
    <numFmt numFmtId="164" formatCode="&quot;True&quot;;&quot;True&quot;;&quot;False&quot;"/>
    <numFmt numFmtId="165" formatCode="&quot;Validatie&quot;;&quot;Validatie&quot;;&quot;Validatie&quot;"/>
    <numFmt numFmtId="166" formatCode="&quot;Validation rule True 1&quot;;&quot;Validation rule True 0&quot;;&quot;Validation rule False -1&quot;"/>
    <numFmt numFmtId="167" formatCode="&quot;Validatieregel (True &gt;0)&quot;;&quot;Validatieregel (False 0)&quot;;&quot;Validatieregel (False &lt;0)&quot;"/>
  </numFmts>
  <fonts count="91">
    <font>
      <sz val="10"/>
      <name val="Arial"/>
    </font>
    <font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Verdan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Verdana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courier new"/>
      <family val="3"/>
    </font>
    <font>
      <b/>
      <sz val="12"/>
      <name val="Arial"/>
      <family val="2"/>
    </font>
    <font>
      <sz val="9"/>
      <name val="courier new"/>
      <family val="3"/>
    </font>
    <font>
      <sz val="9"/>
      <name val="Arial"/>
      <family val="2"/>
    </font>
    <font>
      <sz val="8"/>
      <name val="courier new"/>
      <family val="3"/>
    </font>
    <font>
      <sz val="8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i/>
      <u/>
      <sz val="11"/>
      <name val="Times New Roman"/>
      <family val="1"/>
    </font>
    <font>
      <i/>
      <sz val="10"/>
      <name val="Arial"/>
      <family val="2"/>
    </font>
    <font>
      <i/>
      <u/>
      <sz val="11"/>
      <name val="Times New Roman"/>
      <family val="1"/>
    </font>
    <font>
      <u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courier new"/>
      <family val="3"/>
    </font>
    <font>
      <sz val="10"/>
      <color indexed="12"/>
      <name val="Arial"/>
      <family val="2"/>
    </font>
    <font>
      <sz val="11"/>
      <name val="courier new"/>
      <family val="3"/>
    </font>
    <font>
      <sz val="11"/>
      <name val="Arial"/>
      <family val="2"/>
    </font>
    <font>
      <sz val="8"/>
      <color indexed="12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color indexed="81"/>
      <name val="Tahoma"/>
      <family val="2"/>
    </font>
    <font>
      <i/>
      <sz val="7"/>
      <name val="Verdana"/>
      <family val="2"/>
    </font>
    <font>
      <sz val="8"/>
      <color indexed="8"/>
      <name val="Verdana"/>
      <family val="2"/>
    </font>
    <font>
      <i/>
      <sz val="10"/>
      <name val="Verdan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indexed="8"/>
      <name val="Verdana"/>
      <family val="2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sz val="9"/>
      <color indexed="10"/>
      <name val="courier new"/>
      <family val="3"/>
    </font>
    <font>
      <sz val="10"/>
      <color indexed="10"/>
      <name val="courier new"/>
      <family val="3"/>
    </font>
    <font>
      <sz val="11"/>
      <color indexed="10"/>
      <name val="courier new"/>
      <family val="3"/>
    </font>
    <font>
      <sz val="10"/>
      <color rgb="FFFF0000"/>
      <name val="Times New Roman"/>
      <family val="1"/>
    </font>
    <font>
      <sz val="8"/>
      <color indexed="10"/>
      <name val="courier new"/>
      <family val="3"/>
    </font>
    <font>
      <b/>
      <sz val="12"/>
      <name val="courier new"/>
      <family val="3"/>
    </font>
    <font>
      <vertAlign val="superscript"/>
      <sz val="10"/>
      <name val="Courier New"/>
      <family val="3"/>
    </font>
    <font>
      <b/>
      <sz val="10"/>
      <name val="Courier New"/>
      <family val="3"/>
    </font>
    <font>
      <sz val="12"/>
      <color indexed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9"/>
      <color indexed="12"/>
      <name val="Courier New"/>
      <family val="3"/>
    </font>
    <font>
      <i/>
      <sz val="8"/>
      <name val="Courier New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dott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 style="dotted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8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5">
    <xf numFmtId="0" fontId="0" fillId="0" borderId="0" xfId="0"/>
    <xf numFmtId="0" fontId="0" fillId="0" borderId="0" xfId="0" applyAlignment="1"/>
    <xf numFmtId="0" fontId="0" fillId="0" borderId="0" xfId="0" applyFill="1"/>
    <xf numFmtId="0" fontId="6" fillId="0" borderId="1" xfId="0" applyFont="1" applyBorder="1" applyAlignment="1">
      <alignment wrapText="1"/>
    </xf>
    <xf numFmtId="0" fontId="12" fillId="0" borderId="0" xfId="0" applyFont="1"/>
    <xf numFmtId="0" fontId="9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0" fillId="0" borderId="0" xfId="0" applyFont="1"/>
    <xf numFmtId="0" fontId="8" fillId="0" borderId="0" xfId="0" applyFont="1"/>
    <xf numFmtId="0" fontId="3" fillId="0" borderId="0" xfId="0" applyFont="1"/>
    <xf numFmtId="0" fontId="14" fillId="0" borderId="0" xfId="0" applyFont="1"/>
    <xf numFmtId="0" fontId="9" fillId="0" borderId="0" xfId="0" applyFont="1" applyAlignment="1"/>
    <xf numFmtId="0" fontId="0" fillId="0" borderId="0" xfId="0" applyFill="1" applyBorder="1"/>
    <xf numFmtId="0" fontId="9" fillId="0" borderId="0" xfId="0" applyFont="1" applyFill="1"/>
    <xf numFmtId="0" fontId="0" fillId="0" borderId="0" xfId="0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1" xfId="0" applyBorder="1"/>
    <xf numFmtId="0" fontId="13" fillId="3" borderId="0" xfId="0" applyFont="1" applyFill="1"/>
    <xf numFmtId="0" fontId="19" fillId="0" borderId="0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22" fillId="0" borderId="0" xfId="0" applyFont="1"/>
    <xf numFmtId="0" fontId="23" fillId="0" borderId="0" xfId="0" applyFont="1" applyFill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167" fontId="19" fillId="0" borderId="0" xfId="0" applyNumberFormat="1" applyFont="1" applyFill="1" applyBorder="1" applyAlignment="1">
      <alignment horizontal="left" vertical="center"/>
    </xf>
    <xf numFmtId="167" fontId="20" fillId="0" borderId="0" xfId="0" applyNumberFormat="1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/>
    <xf numFmtId="0" fontId="13" fillId="0" borderId="0" xfId="0" applyFont="1" applyAlignment="1">
      <alignment wrapText="1"/>
    </xf>
    <xf numFmtId="0" fontId="18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wrapText="1"/>
    </xf>
    <xf numFmtId="0" fontId="13" fillId="0" borderId="0" xfId="0" applyFont="1" applyFill="1" applyAlignment="1">
      <alignment horizontal="right" vertical="center"/>
    </xf>
    <xf numFmtId="0" fontId="24" fillId="0" borderId="0" xfId="0" applyFont="1" applyFill="1"/>
    <xf numFmtId="0" fontId="13" fillId="0" borderId="0" xfId="0" applyFont="1" applyFill="1" applyBorder="1"/>
    <xf numFmtId="0" fontId="14" fillId="0" borderId="0" xfId="0" applyFont="1" applyFill="1"/>
    <xf numFmtId="0" fontId="13" fillId="0" borderId="0" xfId="0" applyFont="1" applyAlignment="1">
      <alignment horizontal="justify"/>
    </xf>
    <xf numFmtId="0" fontId="10" fillId="0" borderId="0" xfId="0" applyFont="1" applyFill="1"/>
    <xf numFmtId="0" fontId="27" fillId="0" borderId="0" xfId="0" applyFont="1"/>
    <xf numFmtId="0" fontId="28" fillId="0" borderId="0" xfId="0" applyFont="1" applyAlignment="1"/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wrapText="1"/>
    </xf>
    <xf numFmtId="0" fontId="28" fillId="4" borderId="3" xfId="0" applyFont="1" applyFill="1" applyBorder="1" applyAlignment="1">
      <alignment wrapText="1"/>
    </xf>
    <xf numFmtId="0" fontId="30" fillId="0" borderId="0" xfId="0" applyFont="1"/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wrapText="1"/>
    </xf>
    <xf numFmtId="0" fontId="31" fillId="5" borderId="6" xfId="0" applyFont="1" applyFill="1" applyBorder="1" applyAlignment="1">
      <alignment horizontal="center" vertical="center" wrapText="1"/>
    </xf>
    <xf numFmtId="49" fontId="31" fillId="5" borderId="7" xfId="0" applyNumberFormat="1" applyFont="1" applyFill="1" applyBorder="1" applyAlignment="1">
      <alignment horizontal="center" wrapText="1"/>
    </xf>
    <xf numFmtId="49" fontId="31" fillId="5" borderId="8" xfId="0" applyNumberFormat="1" applyFont="1" applyFill="1" applyBorder="1" applyAlignment="1">
      <alignment horizontal="center" wrapText="1"/>
    </xf>
    <xf numFmtId="49" fontId="31" fillId="5" borderId="8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wrapText="1"/>
    </xf>
    <xf numFmtId="0" fontId="31" fillId="5" borderId="3" xfId="0" applyFont="1" applyFill="1" applyBorder="1" applyAlignment="1">
      <alignment horizontal="center" vertical="center" wrapText="1"/>
    </xf>
    <xf numFmtId="0" fontId="31" fillId="0" borderId="5" xfId="0" applyFont="1" applyBorder="1"/>
    <xf numFmtId="0" fontId="31" fillId="5" borderId="9" xfId="0" applyFont="1" applyFill="1" applyBorder="1" applyAlignment="1">
      <alignment horizontal="center" vertical="center" wrapText="1"/>
    </xf>
    <xf numFmtId="0" fontId="31" fillId="0" borderId="10" xfId="0" applyFont="1" applyBorder="1"/>
    <xf numFmtId="0" fontId="31" fillId="5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4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31" fillId="2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32" fillId="0" borderId="0" xfId="0" applyFont="1" applyFill="1"/>
    <xf numFmtId="3" fontId="1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wrapText="1"/>
    </xf>
    <xf numFmtId="0" fontId="19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/>
    <xf numFmtId="0" fontId="17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horizontal="right" vertical="center"/>
    </xf>
    <xf numFmtId="0" fontId="28" fillId="4" borderId="12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3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31" fillId="0" borderId="6" xfId="0" applyFont="1" applyBorder="1"/>
    <xf numFmtId="0" fontId="31" fillId="0" borderId="14" xfId="0" applyFont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 wrapText="1"/>
    </xf>
    <xf numFmtId="0" fontId="31" fillId="5" borderId="8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textRotation="90" wrapText="1"/>
    </xf>
    <xf numFmtId="49" fontId="31" fillId="0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/>
    <xf numFmtId="0" fontId="30" fillId="0" borderId="0" xfId="0" applyFont="1" applyFill="1" applyBorder="1"/>
    <xf numFmtId="0" fontId="34" fillId="0" borderId="15" xfId="0" applyFont="1" applyBorder="1" applyAlignment="1">
      <alignment vertical="top" wrapText="1"/>
    </xf>
    <xf numFmtId="0" fontId="29" fillId="0" borderId="9" xfId="0" applyFont="1" applyBorder="1" applyAlignment="1">
      <alignment horizontal="center" vertical="top" wrapText="1"/>
    </xf>
    <xf numFmtId="0" fontId="34" fillId="0" borderId="9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0" fontId="35" fillId="0" borderId="9" xfId="0" applyFont="1" applyBorder="1" applyAlignment="1">
      <alignment horizontal="left" vertical="top" wrapText="1" indent="2"/>
    </xf>
    <xf numFmtId="0" fontId="35" fillId="0" borderId="15" xfId="0" applyFont="1" applyBorder="1" applyAlignment="1">
      <alignment horizontal="left" vertical="top" wrapText="1" indent="2"/>
    </xf>
    <xf numFmtId="0" fontId="36" fillId="0" borderId="6" xfId="0" applyFont="1" applyBorder="1" applyAlignment="1">
      <alignment vertical="top" wrapText="1"/>
    </xf>
    <xf numFmtId="0" fontId="34" fillId="5" borderId="6" xfId="0" applyFont="1" applyFill="1" applyBorder="1" applyAlignment="1">
      <alignment horizontal="center" vertical="top" wrapText="1"/>
    </xf>
    <xf numFmtId="49" fontId="34" fillId="5" borderId="14" xfId="0" applyNumberFormat="1" applyFont="1" applyFill="1" applyBorder="1" applyAlignment="1">
      <alignment horizontal="center" vertical="top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right" vertical="top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top" wrapText="1"/>
    </xf>
    <xf numFmtId="0" fontId="35" fillId="0" borderId="4" xfId="0" applyFont="1" applyBorder="1" applyAlignment="1">
      <alignment horizontal="center" textRotation="90" wrapText="1"/>
    </xf>
    <xf numFmtId="0" fontId="35" fillId="0" borderId="19" xfId="0" applyFont="1" applyBorder="1" applyAlignment="1">
      <alignment vertical="top" wrapText="1"/>
    </xf>
    <xf numFmtId="0" fontId="35" fillId="0" borderId="19" xfId="0" applyFont="1" applyBorder="1" applyAlignment="1">
      <alignment horizontal="right" vertical="top" wrapText="1"/>
    </xf>
    <xf numFmtId="0" fontId="35" fillId="0" borderId="4" xfId="0" applyFont="1" applyBorder="1" applyAlignment="1">
      <alignment vertical="top" wrapText="1"/>
    </xf>
    <xf numFmtId="0" fontId="35" fillId="0" borderId="4" xfId="0" applyFont="1" applyBorder="1" applyAlignment="1">
      <alignment horizontal="right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Border="1" applyAlignment="1">
      <alignment horizontal="right" vertical="top" wrapText="1"/>
    </xf>
    <xf numFmtId="0" fontId="35" fillId="0" borderId="20" xfId="0" applyFont="1" applyBorder="1" applyAlignment="1">
      <alignment vertical="top" wrapText="1"/>
    </xf>
    <xf numFmtId="0" fontId="35" fillId="0" borderId="20" xfId="0" applyFont="1" applyBorder="1" applyAlignment="1">
      <alignment horizontal="right" vertical="top" wrapText="1"/>
    </xf>
    <xf numFmtId="0" fontId="35" fillId="0" borderId="19" xfId="0" applyFont="1" applyFill="1" applyBorder="1" applyAlignment="1">
      <alignment horizontal="right" vertical="top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horizontal="right" vertical="top" wrapText="1"/>
    </xf>
    <xf numFmtId="0" fontId="34" fillId="5" borderId="6" xfId="0" applyFont="1" applyFill="1" applyBorder="1" applyAlignment="1">
      <alignment horizontal="center" wrapText="1"/>
    </xf>
    <xf numFmtId="49" fontId="34" fillId="5" borderId="14" xfId="0" applyNumberFormat="1" applyFont="1" applyFill="1" applyBorder="1" applyAlignment="1">
      <alignment horizontal="center" wrapText="1"/>
    </xf>
    <xf numFmtId="0" fontId="34" fillId="5" borderId="4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right" vertical="top" wrapText="1"/>
    </xf>
    <xf numFmtId="0" fontId="39" fillId="0" borderId="4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5" fillId="0" borderId="9" xfId="0" applyFont="1" applyBorder="1" applyAlignment="1">
      <alignment horizontal="right" vertical="top" wrapText="1"/>
    </xf>
    <xf numFmtId="0" fontId="35" fillId="0" borderId="5" xfId="0" applyFont="1" applyBorder="1" applyAlignment="1">
      <alignment vertical="top" wrapText="1"/>
    </xf>
    <xf numFmtId="0" fontId="35" fillId="0" borderId="5" xfId="0" applyFont="1" applyBorder="1" applyAlignment="1">
      <alignment horizontal="right" vertical="top" wrapText="1"/>
    </xf>
    <xf numFmtId="0" fontId="34" fillId="0" borderId="4" xfId="0" applyFont="1" applyBorder="1" applyAlignment="1">
      <alignment vertical="top" wrapText="1"/>
    </xf>
    <xf numFmtId="0" fontId="29" fillId="0" borderId="9" xfId="0" applyFont="1" applyBorder="1" applyAlignment="1">
      <alignment horizontal="left" vertical="top" wrapText="1" indent="2"/>
    </xf>
    <xf numFmtId="0" fontId="34" fillId="0" borderId="11" xfId="0" applyFont="1" applyBorder="1" applyAlignment="1">
      <alignment vertical="top" wrapText="1"/>
    </xf>
    <xf numFmtId="0" fontId="40" fillId="0" borderId="21" xfId="0" applyFont="1" applyBorder="1" applyAlignment="1">
      <alignment horizontal="left"/>
    </xf>
    <xf numFmtId="0" fontId="35" fillId="0" borderId="9" xfId="0" applyFont="1" applyFill="1" applyBorder="1" applyAlignment="1">
      <alignment horizontal="left" vertical="top" wrapText="1" indent="2"/>
    </xf>
    <xf numFmtId="0" fontId="31" fillId="5" borderId="22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5" fillId="0" borderId="4" xfId="0" applyFont="1" applyBorder="1" applyAlignment="1">
      <alignment horizontal="center" wrapText="1"/>
    </xf>
    <xf numFmtId="0" fontId="34" fillId="5" borderId="4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horizontal="left" vertical="top" wrapText="1" indent="2"/>
    </xf>
    <xf numFmtId="0" fontId="35" fillId="0" borderId="15" xfId="0" applyFont="1" applyBorder="1" applyAlignment="1">
      <alignment horizontal="left" vertical="top" wrapText="1" indent="1"/>
    </xf>
    <xf numFmtId="0" fontId="36" fillId="0" borderId="6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vertical="top" wrapText="1"/>
    </xf>
    <xf numFmtId="0" fontId="37" fillId="0" borderId="5" xfId="0" applyFont="1" applyBorder="1" applyAlignment="1">
      <alignment vertical="top" wrapText="1"/>
    </xf>
    <xf numFmtId="0" fontId="37" fillId="0" borderId="5" xfId="0" applyFont="1" applyBorder="1" applyAlignment="1">
      <alignment horizontal="right" vertical="top" wrapText="1"/>
    </xf>
    <xf numFmtId="0" fontId="34" fillId="5" borderId="5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0" fontId="39" fillId="0" borderId="4" xfId="0" applyFont="1" applyBorder="1" applyAlignment="1">
      <alignment wrapText="1"/>
    </xf>
    <xf numFmtId="0" fontId="39" fillId="0" borderId="9" xfId="0" applyFont="1" applyBorder="1" applyAlignment="1">
      <alignment horizontal="left" vertical="top" wrapText="1" indent="2"/>
    </xf>
    <xf numFmtId="0" fontId="34" fillId="0" borderId="4" xfId="0" applyFont="1" applyBorder="1" applyAlignment="1">
      <alignment wrapText="1"/>
    </xf>
    <xf numFmtId="0" fontId="35" fillId="0" borderId="4" xfId="0" applyFont="1" applyBorder="1" applyAlignment="1">
      <alignment wrapText="1"/>
    </xf>
    <xf numFmtId="0" fontId="35" fillId="0" borderId="4" xfId="0" applyFont="1" applyBorder="1" applyAlignment="1">
      <alignment horizontal="left" vertical="top" wrapText="1" indent="2"/>
    </xf>
    <xf numFmtId="0" fontId="35" fillId="0" borderId="9" xfId="0" applyFont="1" applyBorder="1" applyAlignment="1">
      <alignment horizontal="left" vertical="top" wrapText="1" indent="4"/>
    </xf>
    <xf numFmtId="0" fontId="39" fillId="0" borderId="20" xfId="0" applyFont="1" applyBorder="1" applyAlignment="1">
      <alignment vertical="top" wrapText="1"/>
    </xf>
    <xf numFmtId="0" fontId="35" fillId="0" borderId="19" xfId="0" applyFont="1" applyBorder="1" applyAlignment="1">
      <alignment wrapText="1"/>
    </xf>
    <xf numFmtId="0" fontId="39" fillId="0" borderId="15" xfId="0" applyFont="1" applyBorder="1" applyAlignment="1">
      <alignment horizontal="left" vertical="top" wrapText="1" indent="2"/>
    </xf>
    <xf numFmtId="0" fontId="34" fillId="0" borderId="18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0" fontId="35" fillId="0" borderId="25" xfId="0" applyFont="1" applyBorder="1" applyAlignment="1">
      <alignment vertical="top" wrapText="1"/>
    </xf>
    <xf numFmtId="0" fontId="35" fillId="0" borderId="25" xfId="0" applyFont="1" applyBorder="1" applyAlignment="1">
      <alignment horizontal="right" vertical="top" wrapText="1"/>
    </xf>
    <xf numFmtId="0" fontId="35" fillId="0" borderId="26" xfId="0" applyFont="1" applyBorder="1" applyAlignment="1">
      <alignment horizontal="left" vertical="top" wrapText="1" indent="2"/>
    </xf>
    <xf numFmtId="0" fontId="35" fillId="0" borderId="27" xfId="0" applyFont="1" applyBorder="1" applyAlignment="1">
      <alignment vertical="top" wrapText="1"/>
    </xf>
    <xf numFmtId="0" fontId="35" fillId="0" borderId="27" xfId="0" applyFont="1" applyBorder="1" applyAlignment="1">
      <alignment horizontal="right" vertical="top" wrapText="1"/>
    </xf>
    <xf numFmtId="0" fontId="29" fillId="0" borderId="26" xfId="0" applyFont="1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0" fontId="37" fillId="0" borderId="26" xfId="0" applyFont="1" applyBorder="1" applyAlignment="1">
      <alignment horizontal="right" vertical="top" wrapText="1"/>
    </xf>
    <xf numFmtId="0" fontId="31" fillId="0" borderId="9" xfId="0" applyFont="1" applyBorder="1" applyAlignment="1">
      <alignment vertical="top" wrapText="1"/>
    </xf>
    <xf numFmtId="0" fontId="39" fillId="0" borderId="9" xfId="0" applyFont="1" applyBorder="1" applyAlignment="1">
      <alignment horizontal="left" vertical="top" wrapText="1" indent="1"/>
    </xf>
    <xf numFmtId="0" fontId="39" fillId="0" borderId="9" xfId="0" applyFont="1" applyBorder="1" applyAlignment="1">
      <alignment horizontal="right" vertical="top" wrapText="1"/>
    </xf>
    <xf numFmtId="0" fontId="39" fillId="0" borderId="15" xfId="0" applyFont="1" applyBorder="1" applyAlignment="1">
      <alignment horizontal="left" vertical="top" wrapText="1" indent="1"/>
    </xf>
    <xf numFmtId="0" fontId="39" fillId="0" borderId="29" xfId="0" applyFont="1" applyBorder="1" applyAlignment="1">
      <alignment vertical="top" wrapText="1"/>
    </xf>
    <xf numFmtId="0" fontId="39" fillId="0" borderId="15" xfId="0" applyFont="1" applyBorder="1" applyAlignment="1">
      <alignment horizontal="right" vertical="top" wrapText="1"/>
    </xf>
    <xf numFmtId="0" fontId="35" fillId="0" borderId="9" xfId="0" applyFont="1" applyBorder="1" applyAlignment="1">
      <alignment horizontal="left" vertical="top" wrapText="1" indent="1"/>
    </xf>
    <xf numFmtId="0" fontId="29" fillId="0" borderId="6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1" xfId="0" applyFont="1" applyBorder="1" applyAlignment="1">
      <alignment horizontal="justify" vertical="top" wrapText="1"/>
    </xf>
    <xf numFmtId="49" fontId="29" fillId="5" borderId="3" xfId="0" applyNumberFormat="1" applyFont="1" applyFill="1" applyBorder="1" applyAlignment="1">
      <alignment horizontal="center" vertical="top" wrapText="1"/>
    </xf>
    <xf numFmtId="49" fontId="34" fillId="5" borderId="4" xfId="0" applyNumberFormat="1" applyFont="1" applyFill="1" applyBorder="1" applyAlignment="1">
      <alignment horizontal="center" vertical="center" wrapText="1"/>
    </xf>
    <xf numFmtId="49" fontId="29" fillId="5" borderId="4" xfId="0" applyNumberFormat="1" applyFont="1" applyFill="1" applyBorder="1" applyAlignment="1">
      <alignment horizontal="center" vertical="center" wrapText="1"/>
    </xf>
    <xf numFmtId="49" fontId="29" fillId="5" borderId="5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right" vertical="top" wrapText="1"/>
    </xf>
    <xf numFmtId="0" fontId="39" fillId="0" borderId="0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41" fillId="0" borderId="0" xfId="0" applyFont="1"/>
    <xf numFmtId="0" fontId="28" fillId="4" borderId="6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wrapText="1"/>
    </xf>
    <xf numFmtId="0" fontId="31" fillId="5" borderId="6" xfId="0" applyFont="1" applyFill="1" applyBorder="1" applyAlignment="1">
      <alignment horizontal="center" wrapText="1"/>
    </xf>
    <xf numFmtId="49" fontId="31" fillId="5" borderId="14" xfId="0" applyNumberFormat="1" applyFont="1" applyFill="1" applyBorder="1" applyAlignment="1">
      <alignment horizontal="center" wrapText="1"/>
    </xf>
    <xf numFmtId="0" fontId="31" fillId="2" borderId="30" xfId="0" applyFont="1" applyFill="1" applyBorder="1" applyAlignment="1">
      <alignment wrapText="1"/>
    </xf>
    <xf numFmtId="0" fontId="31" fillId="5" borderId="31" xfId="0" applyFont="1" applyFill="1" applyBorder="1" applyAlignment="1">
      <alignment vertical="top" wrapText="1"/>
    </xf>
    <xf numFmtId="0" fontId="31" fillId="5" borderId="9" xfId="0" applyFont="1" applyFill="1" applyBorder="1" applyAlignment="1">
      <alignment horizontal="center" vertical="top" wrapText="1"/>
    </xf>
    <xf numFmtId="0" fontId="31" fillId="2" borderId="15" xfId="0" applyFont="1" applyFill="1" applyBorder="1" applyAlignment="1">
      <alignment wrapText="1"/>
    </xf>
    <xf numFmtId="0" fontId="31" fillId="5" borderId="19" xfId="0" applyFont="1" applyFill="1" applyBorder="1" applyAlignment="1">
      <alignment vertical="top" wrapText="1"/>
    </xf>
    <xf numFmtId="0" fontId="31" fillId="2" borderId="15" xfId="0" applyFont="1" applyFill="1" applyBorder="1" applyAlignment="1">
      <alignment horizontal="left" wrapText="1" indent="2"/>
    </xf>
    <xf numFmtId="0" fontId="31" fillId="2" borderId="15" xfId="0" applyFont="1" applyFill="1" applyBorder="1" applyAlignment="1">
      <alignment horizontal="left" vertical="top" wrapText="1" indent="2"/>
    </xf>
    <xf numFmtId="0" fontId="31" fillId="2" borderId="11" xfId="0" applyFont="1" applyFill="1" applyBorder="1" applyAlignment="1">
      <alignment horizontal="left" wrapText="1" indent="2"/>
    </xf>
    <xf numFmtId="0" fontId="31" fillId="5" borderId="5" xfId="0" applyFont="1" applyFill="1" applyBorder="1" applyAlignment="1">
      <alignment vertical="top" wrapText="1"/>
    </xf>
    <xf numFmtId="0" fontId="39" fillId="2" borderId="15" xfId="0" applyFont="1" applyFill="1" applyBorder="1" applyAlignment="1">
      <alignment horizontal="left" vertical="top" wrapText="1" indent="2"/>
    </xf>
    <xf numFmtId="0" fontId="39" fillId="5" borderId="19" xfId="0" applyFont="1" applyFill="1" applyBorder="1" applyAlignment="1">
      <alignment vertical="top" wrapText="1"/>
    </xf>
    <xf numFmtId="0" fontId="31" fillId="2" borderId="32" xfId="0" applyFont="1" applyFill="1" applyBorder="1" applyAlignment="1">
      <alignment wrapText="1"/>
    </xf>
    <xf numFmtId="0" fontId="39" fillId="2" borderId="32" xfId="0" applyFont="1" applyFill="1" applyBorder="1" applyAlignment="1">
      <alignment horizontal="left" vertical="top" wrapText="1" indent="2"/>
    </xf>
    <xf numFmtId="0" fontId="31" fillId="5" borderId="30" xfId="0" applyFont="1" applyFill="1" applyBorder="1" applyAlignment="1">
      <alignment vertical="top" wrapText="1"/>
    </xf>
    <xf numFmtId="0" fontId="39" fillId="5" borderId="15" xfId="0" applyFont="1" applyFill="1" applyBorder="1" applyAlignment="1">
      <alignment vertical="top" wrapText="1"/>
    </xf>
    <xf numFmtId="0" fontId="31" fillId="5" borderId="15" xfId="0" applyFont="1" applyFill="1" applyBorder="1" applyAlignment="1">
      <alignment vertical="top" wrapText="1"/>
    </xf>
    <xf numFmtId="0" fontId="31" fillId="5" borderId="11" xfId="0" applyFont="1" applyFill="1" applyBorder="1" applyAlignment="1">
      <alignment vertical="top" wrapText="1"/>
    </xf>
    <xf numFmtId="0" fontId="33" fillId="4" borderId="6" xfId="0" applyFont="1" applyFill="1" applyBorder="1" applyAlignment="1">
      <alignment horizontal="center" vertical="top" wrapText="1"/>
    </xf>
    <xf numFmtId="0" fontId="35" fillId="4" borderId="6" xfId="0" applyFont="1" applyFill="1" applyBorder="1" applyAlignment="1">
      <alignment horizontal="center" textRotation="90" wrapText="1"/>
    </xf>
    <xf numFmtId="0" fontId="35" fillId="4" borderId="3" xfId="0" applyFont="1" applyFill="1" applyBorder="1" applyAlignment="1">
      <alignment horizontal="center" textRotation="90" wrapText="1"/>
    </xf>
    <xf numFmtId="0" fontId="35" fillId="4" borderId="14" xfId="0" applyFont="1" applyFill="1" applyBorder="1" applyAlignment="1">
      <alignment horizontal="center" textRotation="90" wrapText="1"/>
    </xf>
    <xf numFmtId="0" fontId="29" fillId="4" borderId="3" xfId="0" applyFont="1" applyFill="1" applyBorder="1" applyAlignment="1">
      <alignment vertical="top" wrapText="1"/>
    </xf>
    <xf numFmtId="0" fontId="39" fillId="4" borderId="14" xfId="0" applyFont="1" applyFill="1" applyBorder="1" applyAlignment="1">
      <alignment horizontal="center" textRotation="90" wrapText="1"/>
    </xf>
    <xf numFmtId="0" fontId="39" fillId="4" borderId="6" xfId="0" applyFont="1" applyFill="1" applyBorder="1" applyAlignment="1">
      <alignment horizontal="center" textRotation="90" wrapText="1"/>
    </xf>
    <xf numFmtId="0" fontId="40" fillId="2" borderId="13" xfId="0" applyFont="1" applyFill="1" applyBorder="1" applyAlignment="1">
      <alignment wrapText="1"/>
    </xf>
    <xf numFmtId="0" fontId="31" fillId="5" borderId="33" xfId="0" applyFont="1" applyFill="1" applyBorder="1" applyAlignment="1">
      <alignment horizontal="center" vertical="top" wrapText="1"/>
    </xf>
    <xf numFmtId="0" fontId="31" fillId="5" borderId="0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vertical="top" wrapText="1"/>
    </xf>
    <xf numFmtId="0" fontId="31" fillId="5" borderId="34" xfId="0" applyFont="1" applyFill="1" applyBorder="1" applyAlignment="1">
      <alignment horizontal="center" vertical="top" wrapText="1"/>
    </xf>
    <xf numFmtId="0" fontId="41" fillId="4" borderId="6" xfId="0" applyFont="1" applyFill="1" applyBorder="1" applyAlignment="1">
      <alignment horizontal="center" vertical="top" wrapText="1"/>
    </xf>
    <xf numFmtId="0" fontId="28" fillId="0" borderId="0" xfId="0" applyFont="1"/>
    <xf numFmtId="0" fontId="31" fillId="0" borderId="0" xfId="0" applyFont="1"/>
    <xf numFmtId="0" fontId="28" fillId="4" borderId="6" xfId="0" applyFont="1" applyFill="1" applyBorder="1" applyAlignment="1">
      <alignment wrapText="1"/>
    </xf>
    <xf numFmtId="0" fontId="28" fillId="0" borderId="6" xfId="0" applyFont="1" applyFill="1" applyBorder="1" applyAlignment="1">
      <alignment wrapText="1"/>
    </xf>
    <xf numFmtId="0" fontId="31" fillId="5" borderId="14" xfId="0" applyFont="1" applyFill="1" applyBorder="1" applyAlignment="1">
      <alignment horizontal="center" wrapText="1"/>
    </xf>
    <xf numFmtId="49" fontId="31" fillId="5" borderId="5" xfId="0" applyNumberFormat="1" applyFont="1" applyFill="1" applyBorder="1" applyAlignment="1">
      <alignment horizontal="center" wrapText="1"/>
    </xf>
    <xf numFmtId="0" fontId="31" fillId="5" borderId="4" xfId="0" applyFont="1" applyFill="1" applyBorder="1" applyAlignment="1">
      <alignment horizontal="center" wrapText="1"/>
    </xf>
    <xf numFmtId="0" fontId="40" fillId="2" borderId="11" xfId="0" applyFont="1" applyFill="1" applyBorder="1" applyAlignment="1">
      <alignment wrapText="1"/>
    </xf>
    <xf numFmtId="0" fontId="41" fillId="4" borderId="6" xfId="0" applyFont="1" applyFill="1" applyBorder="1" applyAlignment="1">
      <alignment vertical="top" wrapText="1"/>
    </xf>
    <xf numFmtId="0" fontId="28" fillId="0" borderId="0" xfId="0" applyFont="1" applyAlignment="1">
      <alignment horizontal="left"/>
    </xf>
    <xf numFmtId="0" fontId="28" fillId="0" borderId="6" xfId="0" applyFont="1" applyFill="1" applyBorder="1" applyAlignment="1">
      <alignment horizontal="justify" vertical="top" wrapText="1"/>
    </xf>
    <xf numFmtId="0" fontId="31" fillId="0" borderId="14" xfId="0" applyFont="1" applyFill="1" applyBorder="1" applyAlignment="1">
      <alignment horizontal="justify" vertical="top" wrapText="1"/>
    </xf>
    <xf numFmtId="0" fontId="31" fillId="0" borderId="14" xfId="0" applyFont="1" applyFill="1" applyBorder="1" applyAlignment="1">
      <alignment horizontal="center" vertical="center" wrapText="1"/>
    </xf>
    <xf numFmtId="0" fontId="31" fillId="5" borderId="35" xfId="0" applyFont="1" applyFill="1" applyBorder="1" applyAlignment="1">
      <alignment horizontal="center" vertical="center" wrapText="1"/>
    </xf>
    <xf numFmtId="49" fontId="31" fillId="5" borderId="6" xfId="0" applyNumberFormat="1" applyFont="1" applyFill="1" applyBorder="1" applyAlignment="1">
      <alignment horizontal="center" vertical="center" wrapText="1"/>
    </xf>
    <xf numFmtId="49" fontId="31" fillId="5" borderId="14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0" fontId="31" fillId="2" borderId="19" xfId="0" applyFont="1" applyFill="1" applyBorder="1" applyAlignment="1">
      <alignment horizontal="justify" vertical="top" wrapText="1"/>
    </xf>
    <xf numFmtId="0" fontId="31" fillId="0" borderId="5" xfId="0" applyFont="1" applyBorder="1" applyAlignment="1">
      <alignment horizontal="justify" vertical="top" wrapText="1"/>
    </xf>
    <xf numFmtId="0" fontId="31" fillId="0" borderId="11" xfId="0" applyFont="1" applyBorder="1" applyAlignment="1">
      <alignment vertical="top" wrapText="1"/>
    </xf>
    <xf numFmtId="0" fontId="31" fillId="2" borderId="5" xfId="0" applyFont="1" applyFill="1" applyBorder="1" applyAlignment="1">
      <alignment horizontal="justify" vertical="top" wrapText="1"/>
    </xf>
    <xf numFmtId="0" fontId="31" fillId="0" borderId="11" xfId="0" applyFont="1" applyBorder="1" applyAlignment="1">
      <alignment horizontal="justify" vertical="top" wrapText="1"/>
    </xf>
    <xf numFmtId="0" fontId="31" fillId="5" borderId="6" xfId="0" applyFont="1" applyFill="1" applyBorder="1" applyAlignment="1">
      <alignment horizontal="justify" vertical="top"/>
    </xf>
    <xf numFmtId="0" fontId="31" fillId="5" borderId="6" xfId="0" applyFont="1" applyFill="1" applyBorder="1"/>
    <xf numFmtId="0" fontId="31" fillId="5" borderId="34" xfId="0" applyFont="1" applyFill="1" applyBorder="1"/>
    <xf numFmtId="0" fontId="31" fillId="0" borderId="34" xfId="0" applyFont="1" applyBorder="1"/>
    <xf numFmtId="0" fontId="28" fillId="5" borderId="5" xfId="0" applyFont="1" applyFill="1" applyBorder="1" applyAlignment="1">
      <alignment horizontal="justify" vertical="top" wrapText="1"/>
    </xf>
    <xf numFmtId="0" fontId="31" fillId="5" borderId="6" xfId="0" applyFont="1" applyFill="1" applyBorder="1" applyAlignment="1">
      <alignment horizontal="center" vertical="top" wrapText="1"/>
    </xf>
    <xf numFmtId="0" fontId="28" fillId="0" borderId="5" xfId="0" applyFont="1" applyBorder="1" applyAlignment="1">
      <alignment horizontal="justify" vertical="top" wrapText="1"/>
    </xf>
    <xf numFmtId="0" fontId="41" fillId="0" borderId="0" xfId="0" applyFont="1" applyAlignment="1">
      <alignment horizontal="left"/>
    </xf>
    <xf numFmtId="0" fontId="39" fillId="4" borderId="35" xfId="0" applyFont="1" applyFill="1" applyBorder="1" applyAlignment="1">
      <alignment horizontal="center" vertical="center" textRotation="90" wrapText="1"/>
    </xf>
    <xf numFmtId="0" fontId="40" fillId="5" borderId="11" xfId="0" applyFont="1" applyFill="1" applyBorder="1" applyAlignment="1">
      <alignment horizontal="justify" vertical="top"/>
    </xf>
    <xf numFmtId="0" fontId="28" fillId="4" borderId="3" xfId="0" applyFont="1" applyFill="1" applyBorder="1" applyAlignment="1">
      <alignment vertical="top" wrapText="1"/>
    </xf>
    <xf numFmtId="0" fontId="28" fillId="4" borderId="36" xfId="0" applyFont="1" applyFill="1" applyBorder="1" applyAlignment="1">
      <alignment vertical="top" wrapText="1"/>
    </xf>
    <xf numFmtId="0" fontId="28" fillId="4" borderId="11" xfId="0" applyFont="1" applyFill="1" applyBorder="1" applyAlignment="1">
      <alignment vertical="top" wrapText="1"/>
    </xf>
    <xf numFmtId="0" fontId="28" fillId="4" borderId="13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31" fillId="5" borderId="23" xfId="0" applyFont="1" applyFill="1" applyBorder="1" applyAlignment="1">
      <alignment horizontal="center" vertical="top" wrapText="1"/>
    </xf>
    <xf numFmtId="49" fontId="31" fillId="5" borderId="35" xfId="0" applyNumberFormat="1" applyFont="1" applyFill="1" applyBorder="1" applyAlignment="1">
      <alignment horizontal="center" vertical="top" wrapText="1"/>
    </xf>
    <xf numFmtId="49" fontId="31" fillId="5" borderId="6" xfId="0" applyNumberFormat="1" applyFont="1" applyFill="1" applyBorder="1" applyAlignment="1">
      <alignment horizontal="center" vertical="top" wrapText="1"/>
    </xf>
    <xf numFmtId="49" fontId="31" fillId="5" borderId="14" xfId="0" applyNumberFormat="1" applyFont="1" applyFill="1" applyBorder="1" applyAlignment="1">
      <alignment horizontal="center" vertical="top" wrapText="1"/>
    </xf>
    <xf numFmtId="0" fontId="31" fillId="5" borderId="5" xfId="0" applyFont="1" applyFill="1" applyBorder="1" applyAlignment="1">
      <alignment horizontal="center" vertical="center" wrapText="1"/>
    </xf>
    <xf numFmtId="0" fontId="6" fillId="0" borderId="0" xfId="0" applyFont="1"/>
    <xf numFmtId="0" fontId="43" fillId="0" borderId="0" xfId="0" applyFont="1"/>
    <xf numFmtId="0" fontId="39" fillId="4" borderId="36" xfId="0" applyFont="1" applyFill="1" applyBorder="1" applyAlignment="1">
      <alignment vertical="top" textRotation="90" wrapText="1"/>
    </xf>
    <xf numFmtId="0" fontId="39" fillId="4" borderId="35" xfId="0" applyFont="1" applyFill="1" applyBorder="1" applyAlignment="1">
      <alignment horizontal="center" vertical="top" wrapText="1"/>
    </xf>
    <xf numFmtId="0" fontId="39" fillId="4" borderId="6" xfId="0" applyFont="1" applyFill="1" applyBorder="1" applyAlignment="1">
      <alignment horizontal="center" vertical="top" wrapText="1"/>
    </xf>
    <xf numFmtId="0" fontId="39" fillId="4" borderId="14" xfId="0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vertical="top" wrapText="1"/>
    </xf>
    <xf numFmtId="0" fontId="28" fillId="0" borderId="35" xfId="0" applyFont="1" applyFill="1" applyBorder="1" applyAlignment="1">
      <alignment horizontal="center" wrapText="1"/>
    </xf>
    <xf numFmtId="0" fontId="31" fillId="0" borderId="14" xfId="0" applyFont="1" applyFill="1" applyBorder="1"/>
    <xf numFmtId="0" fontId="31" fillId="5" borderId="14" xfId="0" applyFont="1" applyFill="1" applyBorder="1" applyAlignment="1">
      <alignment horizontal="center"/>
    </xf>
    <xf numFmtId="0" fontId="31" fillId="0" borderId="15" xfId="0" applyFont="1" applyBorder="1" applyAlignment="1">
      <alignment wrapText="1"/>
    </xf>
    <xf numFmtId="0" fontId="31" fillId="5" borderId="3" xfId="0" applyFont="1" applyFill="1" applyBorder="1" applyAlignment="1">
      <alignment horizontal="center" vertical="top" wrapText="1"/>
    </xf>
    <xf numFmtId="0" fontId="31" fillId="0" borderId="15" xfId="0" applyFont="1" applyBorder="1" applyAlignment="1">
      <alignment horizontal="left" wrapText="1" indent="2"/>
    </xf>
    <xf numFmtId="0" fontId="31" fillId="0" borderId="11" xfId="0" applyFont="1" applyBorder="1" applyAlignment="1">
      <alignment horizontal="left" wrapText="1" indent="2"/>
    </xf>
    <xf numFmtId="0" fontId="31" fillId="0" borderId="5" xfId="0" applyFont="1" applyBorder="1" applyAlignment="1">
      <alignment vertical="top" wrapText="1"/>
    </xf>
    <xf numFmtId="0" fontId="31" fillId="5" borderId="11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right" vertical="top" wrapText="1"/>
    </xf>
    <xf numFmtId="0" fontId="41" fillId="4" borderId="12" xfId="0" applyFont="1" applyFill="1" applyBorder="1" applyAlignment="1">
      <alignment horizontal="center" vertical="top" wrapText="1"/>
    </xf>
    <xf numFmtId="0" fontId="31" fillId="5" borderId="23" xfId="0" applyFont="1" applyFill="1" applyBorder="1"/>
    <xf numFmtId="0" fontId="28" fillId="4" borderId="6" xfId="0" applyFont="1" applyFill="1" applyBorder="1" applyAlignment="1">
      <alignment vertical="top" wrapText="1"/>
    </xf>
    <xf numFmtId="0" fontId="31" fillId="5" borderId="5" xfId="0" applyFont="1" applyFill="1" applyBorder="1" applyAlignment="1">
      <alignment horizontal="center" wrapText="1"/>
    </xf>
    <xf numFmtId="0" fontId="31" fillId="5" borderId="3" xfId="0" applyFont="1" applyFill="1" applyBorder="1" applyAlignment="1">
      <alignment horizontal="center" wrapText="1"/>
    </xf>
    <xf numFmtId="1" fontId="31" fillId="5" borderId="9" xfId="0" applyNumberFormat="1" applyFont="1" applyFill="1" applyBorder="1" applyAlignment="1">
      <alignment horizontal="center" wrapText="1"/>
    </xf>
    <xf numFmtId="0" fontId="31" fillId="2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28" fillId="4" borderId="13" xfId="0" applyFont="1" applyFill="1" applyBorder="1" applyAlignment="1">
      <alignment wrapText="1"/>
    </xf>
    <xf numFmtId="0" fontId="31" fillId="4" borderId="13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wrapText="1"/>
    </xf>
    <xf numFmtId="49" fontId="31" fillId="0" borderId="4" xfId="0" applyNumberFormat="1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vertical="top" wrapText="1"/>
    </xf>
    <xf numFmtId="0" fontId="39" fillId="0" borderId="9" xfId="0" applyFont="1" applyBorder="1" applyAlignment="1">
      <alignment vertical="top" textRotation="90" wrapText="1"/>
    </xf>
    <xf numFmtId="0" fontId="39" fillId="4" borderId="3" xfId="0" applyFont="1" applyFill="1" applyBorder="1" applyAlignment="1">
      <alignment horizontal="center" vertical="center" textRotation="90" wrapText="1"/>
    </xf>
    <xf numFmtId="49" fontId="31" fillId="5" borderId="9" xfId="0" applyNumberFormat="1" applyFont="1" applyFill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42" fillId="4" borderId="3" xfId="0" applyFont="1" applyFill="1" applyBorder="1" applyAlignment="1">
      <alignment horizontal="center" textRotation="90" wrapText="1"/>
    </xf>
    <xf numFmtId="0" fontId="31" fillId="0" borderId="0" xfId="0" applyFont="1" applyBorder="1" applyAlignment="1">
      <alignment horizontal="left" vertical="top" wrapText="1" indent="1"/>
    </xf>
    <xf numFmtId="0" fontId="28" fillId="0" borderId="6" xfId="0" applyFont="1" applyFill="1" applyBorder="1" applyAlignment="1">
      <alignment vertical="top" wrapText="1"/>
    </xf>
    <xf numFmtId="0" fontId="31" fillId="5" borderId="14" xfId="0" applyFont="1" applyFill="1" applyBorder="1" applyAlignment="1">
      <alignment horizontal="center" vertical="top" wrapText="1"/>
    </xf>
    <xf numFmtId="0" fontId="31" fillId="5" borderId="9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wrapText="1"/>
    </xf>
    <xf numFmtId="0" fontId="39" fillId="4" borderId="14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wrapText="1"/>
    </xf>
    <xf numFmtId="0" fontId="31" fillId="5" borderId="14" xfId="0" applyFont="1" applyFill="1" applyBorder="1" applyAlignment="1">
      <alignment vertical="top" wrapText="1"/>
    </xf>
    <xf numFmtId="0" fontId="28" fillId="4" borderId="11" xfId="0" applyFont="1" applyFill="1" applyBorder="1" applyAlignment="1">
      <alignment wrapText="1"/>
    </xf>
    <xf numFmtId="0" fontId="31" fillId="4" borderId="5" xfId="0" applyFont="1" applyFill="1" applyBorder="1" applyAlignment="1">
      <alignment horizontal="center" wrapText="1"/>
    </xf>
    <xf numFmtId="0" fontId="31" fillId="4" borderId="6" xfId="0" applyFont="1" applyFill="1" applyBorder="1" applyAlignment="1">
      <alignment horizontal="center" wrapText="1"/>
    </xf>
    <xf numFmtId="0" fontId="31" fillId="4" borderId="14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49" fontId="31" fillId="5" borderId="35" xfId="0" applyNumberFormat="1" applyFont="1" applyFill="1" applyBorder="1" applyAlignment="1">
      <alignment horizontal="center" wrapText="1"/>
    </xf>
    <xf numFmtId="49" fontId="31" fillId="5" borderId="6" xfId="0" applyNumberFormat="1" applyFont="1" applyFill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5" borderId="35" xfId="0" applyFont="1" applyFill="1" applyBorder="1" applyAlignment="1">
      <alignment horizontal="center" vertical="top" wrapText="1"/>
    </xf>
    <xf numFmtId="0" fontId="41" fillId="4" borderId="3" xfId="0" applyFont="1" applyFill="1" applyBorder="1" applyAlignment="1">
      <alignment horizontal="center" vertical="top" wrapText="1"/>
    </xf>
    <xf numFmtId="0" fontId="39" fillId="4" borderId="3" xfId="0" applyFont="1" applyFill="1" applyBorder="1" applyAlignment="1">
      <alignment vertical="top" wrapText="1"/>
    </xf>
    <xf numFmtId="0" fontId="39" fillId="4" borderId="5" xfId="0" applyFont="1" applyFill="1" applyBorder="1" applyAlignment="1">
      <alignment horizontal="center" wrapText="1"/>
    </xf>
    <xf numFmtId="0" fontId="39" fillId="4" borderId="14" xfId="0" applyFont="1" applyFill="1" applyBorder="1" applyAlignment="1">
      <alignment horizontal="center" wrapText="1"/>
    </xf>
    <xf numFmtId="0" fontId="39" fillId="4" borderId="3" xfId="0" applyFont="1" applyFill="1" applyBorder="1" applyAlignment="1">
      <alignment horizontal="center" textRotation="90" wrapText="1"/>
    </xf>
    <xf numFmtId="0" fontId="39" fillId="4" borderId="35" xfId="0" applyFont="1" applyFill="1" applyBorder="1" applyAlignment="1">
      <alignment horizontal="center" textRotation="90" wrapText="1"/>
    </xf>
    <xf numFmtId="0" fontId="39" fillId="4" borderId="6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39" fillId="2" borderId="15" xfId="0" applyFont="1" applyFill="1" applyBorder="1" applyAlignment="1">
      <alignment horizontal="left" vertical="top" wrapText="1" indent="1"/>
    </xf>
    <xf numFmtId="0" fontId="28" fillId="0" borderId="6" xfId="0" applyFont="1" applyFill="1" applyBorder="1" applyAlignment="1">
      <alignment horizontal="center"/>
    </xf>
    <xf numFmtId="0" fontId="28" fillId="0" borderId="5" xfId="0" applyFont="1" applyFill="1" applyBorder="1" applyAlignment="1"/>
    <xf numFmtId="0" fontId="31" fillId="5" borderId="5" xfId="0" applyFont="1" applyFill="1" applyBorder="1" applyAlignment="1">
      <alignment horizontal="center"/>
    </xf>
    <xf numFmtId="49" fontId="31" fillId="5" borderId="5" xfId="0" applyNumberFormat="1" applyFont="1" applyFill="1" applyBorder="1" applyAlignment="1">
      <alignment horizontal="center" vertical="top" wrapText="1"/>
    </xf>
    <xf numFmtId="0" fontId="31" fillId="0" borderId="11" xfId="0" applyFont="1" applyBorder="1"/>
    <xf numFmtId="0" fontId="31" fillId="5" borderId="5" xfId="0" applyFont="1" applyFill="1" applyBorder="1"/>
    <xf numFmtId="0" fontId="31" fillId="5" borderId="3" xfId="0" applyFont="1" applyFill="1" applyBorder="1" applyAlignment="1">
      <alignment horizontal="center"/>
    </xf>
    <xf numFmtId="0" fontId="31" fillId="0" borderId="5" xfId="0" applyFont="1" applyBorder="1" applyAlignment="1">
      <alignment horizontal="right" wrapText="1"/>
    </xf>
    <xf numFmtId="0" fontId="31" fillId="5" borderId="9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28" fillId="0" borderId="5" xfId="0" applyFont="1" applyBorder="1" applyAlignment="1">
      <alignment horizontal="center" vertical="top" wrapText="1"/>
    </xf>
    <xf numFmtId="0" fontId="41" fillId="4" borderId="35" xfId="0" applyFont="1" applyFill="1" applyBorder="1" applyAlignment="1">
      <alignment horizontal="center" vertical="top" wrapText="1"/>
    </xf>
    <xf numFmtId="0" fontId="39" fillId="4" borderId="6" xfId="0" applyFont="1" applyFill="1" applyBorder="1" applyAlignment="1">
      <alignment textRotation="90"/>
    </xf>
    <xf numFmtId="0" fontId="39" fillId="4" borderId="6" xfId="0" applyFont="1" applyFill="1" applyBorder="1" applyAlignment="1">
      <alignment horizontal="center" textRotation="90"/>
    </xf>
    <xf numFmtId="0" fontId="28" fillId="0" borderId="5" xfId="0" applyFont="1" applyFill="1" applyBorder="1"/>
    <xf numFmtId="0" fontId="40" fillId="0" borderId="11" xfId="0" applyFont="1" applyFill="1" applyBorder="1"/>
    <xf numFmtId="0" fontId="31" fillId="4" borderId="6" xfId="0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top" wrapText="1"/>
    </xf>
    <xf numFmtId="0" fontId="31" fillId="4" borderId="14" xfId="0" applyFont="1" applyFill="1" applyBorder="1" applyAlignment="1">
      <alignment horizontal="center" vertical="top" wrapText="1"/>
    </xf>
    <xf numFmtId="0" fontId="39" fillId="2" borderId="37" xfId="0" applyFont="1" applyFill="1" applyBorder="1" applyAlignment="1">
      <alignment horizontal="left" vertical="top" wrapText="1" indent="2"/>
    </xf>
    <xf numFmtId="0" fontId="31" fillId="5" borderId="0" xfId="0" applyFont="1" applyFill="1"/>
    <xf numFmtId="0" fontId="40" fillId="2" borderId="38" xfId="0" applyFont="1" applyFill="1" applyBorder="1" applyAlignment="1">
      <alignment wrapText="1"/>
    </xf>
    <xf numFmtId="0" fontId="31" fillId="0" borderId="1" xfId="0" applyFont="1" applyBorder="1"/>
    <xf numFmtId="0" fontId="31" fillId="5" borderId="3" xfId="0" applyNumberFormat="1" applyFont="1" applyFill="1" applyBorder="1" applyAlignment="1">
      <alignment horizontal="center" wrapText="1"/>
    </xf>
    <xf numFmtId="0" fontId="31" fillId="5" borderId="9" xfId="0" applyNumberFormat="1" applyFont="1" applyFill="1" applyBorder="1" applyAlignment="1">
      <alignment horizontal="center" vertical="top" wrapText="1"/>
    </xf>
    <xf numFmtId="0" fontId="31" fillId="5" borderId="6" xfId="0" applyNumberFormat="1" applyFont="1" applyFill="1" applyBorder="1" applyAlignment="1">
      <alignment horizontal="center" wrapText="1"/>
    </xf>
    <xf numFmtId="0" fontId="31" fillId="4" borderId="6" xfId="0" applyFont="1" applyFill="1" applyBorder="1" applyAlignment="1">
      <alignment wrapText="1"/>
    </xf>
    <xf numFmtId="0" fontId="31" fillId="4" borderId="14" xfId="0" applyFont="1" applyFill="1" applyBorder="1" applyAlignment="1">
      <alignment horizontal="center" textRotation="90" wrapText="1"/>
    </xf>
    <xf numFmtId="0" fontId="31" fillId="4" borderId="34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1" fillId="5" borderId="23" xfId="0" applyFont="1" applyFill="1" applyBorder="1" applyAlignment="1">
      <alignment horizontal="center" wrapText="1"/>
    </xf>
    <xf numFmtId="49" fontId="31" fillId="5" borderId="35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9" fillId="0" borderId="11" xfId="0" applyFont="1" applyBorder="1" applyAlignment="1">
      <alignment horizontal="left" wrapText="1" indent="2"/>
    </xf>
    <xf numFmtId="0" fontId="28" fillId="5" borderId="11" xfId="0" applyFont="1" applyFill="1" applyBorder="1" applyAlignment="1">
      <alignment vertical="top" wrapText="1"/>
    </xf>
    <xf numFmtId="0" fontId="31" fillId="5" borderId="5" xfId="0" applyFont="1" applyFill="1" applyBorder="1" applyAlignment="1">
      <alignment wrapText="1"/>
    </xf>
    <xf numFmtId="0" fontId="31" fillId="0" borderId="5" xfId="0" applyFont="1" applyFill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39" xfId="0" applyFont="1" applyBorder="1" applyAlignment="1">
      <alignment wrapText="1"/>
    </xf>
    <xf numFmtId="0" fontId="31" fillId="0" borderId="14" xfId="0" applyFont="1" applyBorder="1" applyAlignment="1">
      <alignment vertical="top" wrapText="1"/>
    </xf>
    <xf numFmtId="0" fontId="31" fillId="5" borderId="11" xfId="0" applyFont="1" applyFill="1" applyBorder="1" applyAlignment="1">
      <alignment horizontal="center" wrapText="1"/>
    </xf>
    <xf numFmtId="0" fontId="40" fillId="5" borderId="11" xfId="0" applyFont="1" applyFill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13" xfId="0" applyFont="1" applyBorder="1"/>
    <xf numFmtId="0" fontId="31" fillId="0" borderId="23" xfId="0" applyFont="1" applyBorder="1"/>
    <xf numFmtId="0" fontId="28" fillId="0" borderId="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wrapText="1"/>
    </xf>
    <xf numFmtId="0" fontId="28" fillId="5" borderId="14" xfId="0" applyFont="1" applyFill="1" applyBorder="1" applyAlignment="1">
      <alignment wrapText="1"/>
    </xf>
    <xf numFmtId="0" fontId="28" fillId="5" borderId="14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top" wrapText="1"/>
    </xf>
    <xf numFmtId="0" fontId="28" fillId="5" borderId="14" xfId="0" applyFont="1" applyFill="1" applyBorder="1" applyAlignment="1">
      <alignment horizontal="center" vertical="top" wrapText="1"/>
    </xf>
    <xf numFmtId="0" fontId="31" fillId="2" borderId="11" xfId="0" applyFont="1" applyFill="1" applyBorder="1" applyAlignment="1">
      <alignment horizontal="left" vertical="top" wrapText="1" indent="1"/>
    </xf>
    <xf numFmtId="0" fontId="42" fillId="5" borderId="11" xfId="0" applyFont="1" applyFill="1" applyBorder="1" applyAlignment="1">
      <alignment vertical="top" wrapText="1"/>
    </xf>
    <xf numFmtId="0" fontId="42" fillId="5" borderId="5" xfId="0" applyFont="1" applyFill="1" applyBorder="1" applyAlignment="1">
      <alignment vertical="top" wrapText="1"/>
    </xf>
    <xf numFmtId="0" fontId="42" fillId="5" borderId="9" xfId="0" applyFont="1" applyFill="1" applyBorder="1" applyAlignment="1">
      <alignment vertical="top" wrapText="1"/>
    </xf>
    <xf numFmtId="0" fontId="42" fillId="5" borderId="4" xfId="0" applyFont="1" applyFill="1" applyBorder="1" applyAlignment="1">
      <alignment vertical="top" wrapText="1"/>
    </xf>
    <xf numFmtId="0" fontId="31" fillId="5" borderId="4" xfId="0" applyFont="1" applyFill="1" applyBorder="1" applyAlignment="1">
      <alignment horizontal="center" vertical="top" wrapText="1"/>
    </xf>
    <xf numFmtId="0" fontId="39" fillId="4" borderId="12" xfId="0" applyFont="1" applyFill="1" applyBorder="1" applyAlignment="1">
      <alignment horizontal="center" textRotation="90" wrapText="1"/>
    </xf>
    <xf numFmtId="0" fontId="40" fillId="5" borderId="9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vertical="top" wrapText="1"/>
    </xf>
    <xf numFmtId="0" fontId="31" fillId="5" borderId="5" xfId="0" applyFont="1" applyFill="1" applyBorder="1" applyAlignment="1">
      <alignment horizontal="center" vertical="top" wrapText="1"/>
    </xf>
    <xf numFmtId="0" fontId="44" fillId="5" borderId="11" xfId="0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top" wrapText="1"/>
    </xf>
    <xf numFmtId="0" fontId="28" fillId="0" borderId="36" xfId="0" applyFont="1" applyFill="1" applyBorder="1" applyAlignment="1">
      <alignment horizontal="center" vertical="top" wrapText="1"/>
    </xf>
    <xf numFmtId="49" fontId="31" fillId="5" borderId="3" xfId="0" applyNumberFormat="1" applyFont="1" applyFill="1" applyBorder="1" applyAlignment="1">
      <alignment horizontal="center" vertical="top" wrapText="1"/>
    </xf>
    <xf numFmtId="0" fontId="28" fillId="0" borderId="6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5" xfId="0" applyFont="1" applyBorder="1" applyAlignment="1">
      <alignment vertical="top" wrapText="1"/>
    </xf>
    <xf numFmtId="0" fontId="28" fillId="5" borderId="6" xfId="0" applyFont="1" applyFill="1" applyBorder="1" applyAlignment="1">
      <alignment vertical="top" wrapText="1"/>
    </xf>
    <xf numFmtId="0" fontId="31" fillId="2" borderId="5" xfId="0" applyFont="1" applyFill="1" applyBorder="1" applyAlignment="1">
      <alignment vertical="top" wrapText="1"/>
    </xf>
    <xf numFmtId="0" fontId="31" fillId="2" borderId="15" xfId="0" applyFont="1" applyFill="1" applyBorder="1" applyAlignment="1">
      <alignment horizontal="left" vertical="top" wrapText="1" indent="1"/>
    </xf>
    <xf numFmtId="0" fontId="31" fillId="2" borderId="9" xfId="0" applyFont="1" applyFill="1" applyBorder="1" applyAlignment="1">
      <alignment horizontal="left" vertical="top" wrapText="1" indent="2"/>
    </xf>
    <xf numFmtId="0" fontId="31" fillId="2" borderId="16" xfId="0" applyFont="1" applyFill="1" applyBorder="1" applyAlignment="1">
      <alignment horizontal="justify" vertical="top" wrapText="1"/>
    </xf>
    <xf numFmtId="0" fontId="31" fillId="0" borderId="13" xfId="0" applyFont="1" applyBorder="1" applyAlignment="1">
      <alignment horizontal="left" vertical="top" wrapText="1" indent="2"/>
    </xf>
    <xf numFmtId="0" fontId="31" fillId="0" borderId="40" xfId="0" applyFont="1" applyBorder="1" applyAlignment="1">
      <alignment horizontal="justify" vertical="top" wrapText="1"/>
    </xf>
    <xf numFmtId="0" fontId="31" fillId="0" borderId="23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top" wrapText="1" indent="1"/>
    </xf>
    <xf numFmtId="0" fontId="31" fillId="0" borderId="6" xfId="0" applyFont="1" applyBorder="1" applyAlignment="1">
      <alignment horizontal="left" vertical="top" wrapText="1" indent="1"/>
    </xf>
    <xf numFmtId="0" fontId="31" fillId="0" borderId="15" xfId="0" applyFont="1" applyBorder="1" applyAlignment="1">
      <alignment horizontal="left" vertical="top" wrapText="1" indent="2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28" fillId="0" borderId="6" xfId="0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horizontal="center"/>
    </xf>
    <xf numFmtId="49" fontId="31" fillId="5" borderId="3" xfId="0" applyNumberFormat="1" applyFont="1" applyFill="1" applyBorder="1" applyAlignment="1">
      <alignment horizontal="center" vertical="center" wrapText="1"/>
    </xf>
    <xf numFmtId="49" fontId="31" fillId="5" borderId="36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0" fontId="31" fillId="4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top" wrapText="1" indent="1"/>
    </xf>
    <xf numFmtId="0" fontId="31" fillId="0" borderId="6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 vertical="top" wrapText="1"/>
    </xf>
    <xf numFmtId="0" fontId="31" fillId="2" borderId="5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vertical="top" wrapText="1"/>
    </xf>
    <xf numFmtId="0" fontId="31" fillId="0" borderId="4" xfId="0" applyFont="1" applyFill="1" applyBorder="1" applyAlignment="1">
      <alignment vertical="top" wrapText="1"/>
    </xf>
    <xf numFmtId="49" fontId="31" fillId="5" borderId="4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vertical="top" wrapText="1"/>
    </xf>
    <xf numFmtId="0" fontId="31" fillId="2" borderId="6" xfId="0" applyFont="1" applyFill="1" applyBorder="1" applyAlignment="1">
      <alignment horizontal="left" vertical="top" wrapText="1" indent="1"/>
    </xf>
    <xf numFmtId="0" fontId="31" fillId="2" borderId="14" xfId="0" applyFont="1" applyFill="1" applyBorder="1" applyAlignment="1">
      <alignment vertical="top" wrapText="1"/>
    </xf>
    <xf numFmtId="0" fontId="31" fillId="2" borderId="3" xfId="0" applyFont="1" applyFill="1" applyBorder="1" applyAlignment="1">
      <alignment horizontal="left" vertical="top" wrapText="1" indent="1"/>
    </xf>
    <xf numFmtId="0" fontId="31" fillId="2" borderId="9" xfId="0" applyFont="1" applyFill="1" applyBorder="1" applyAlignment="1">
      <alignment horizontal="left" vertical="top" wrapText="1" indent="1"/>
    </xf>
    <xf numFmtId="0" fontId="31" fillId="2" borderId="6" xfId="0" applyFont="1" applyFill="1" applyBorder="1" applyAlignment="1">
      <alignment vertical="top" wrapText="1"/>
    </xf>
    <xf numFmtId="0" fontId="31" fillId="2" borderId="14" xfId="0" applyFont="1" applyFill="1" applyBorder="1" applyAlignment="1">
      <alignment wrapText="1"/>
    </xf>
    <xf numFmtId="0" fontId="31" fillId="2" borderId="11" xfId="0" applyFont="1" applyFill="1" applyBorder="1" applyAlignment="1">
      <alignment vertical="top" wrapText="1"/>
    </xf>
    <xf numFmtId="49" fontId="31" fillId="5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top" wrapText="1"/>
    </xf>
    <xf numFmtId="0" fontId="28" fillId="4" borderId="9" xfId="0" applyFont="1" applyFill="1" applyBorder="1" applyAlignment="1">
      <alignment vertical="top" wrapText="1"/>
    </xf>
    <xf numFmtId="0" fontId="31" fillId="2" borderId="4" xfId="0" applyFont="1" applyFill="1" applyBorder="1" applyAlignment="1">
      <alignment vertical="top" wrapText="1"/>
    </xf>
    <xf numFmtId="0" fontId="28" fillId="5" borderId="39" xfId="0" applyFont="1" applyFill="1" applyBorder="1" applyAlignment="1">
      <alignment vertical="top" wrapText="1"/>
    </xf>
    <xf numFmtId="0" fontId="28" fillId="5" borderId="1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31" fillId="0" borderId="0" xfId="0" applyFont="1" applyAlignment="1">
      <alignment horizontal="center" vertical="center"/>
    </xf>
    <xf numFmtId="0" fontId="31" fillId="5" borderId="1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top"/>
    </xf>
    <xf numFmtId="0" fontId="39" fillId="5" borderId="5" xfId="0" applyFont="1" applyFill="1" applyBorder="1" applyAlignment="1">
      <alignment horizontal="center" vertical="top" wrapText="1"/>
    </xf>
    <xf numFmtId="0" fontId="45" fillId="0" borderId="0" xfId="0" applyFont="1"/>
    <xf numFmtId="0" fontId="39" fillId="5" borderId="14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vertical="center" wrapText="1"/>
    </xf>
    <xf numFmtId="0" fontId="39" fillId="5" borderId="14" xfId="0" applyFont="1" applyFill="1" applyBorder="1" applyAlignment="1">
      <alignment vertical="center" wrapText="1"/>
    </xf>
    <xf numFmtId="0" fontId="42" fillId="5" borderId="11" xfId="0" applyFont="1" applyFill="1" applyBorder="1" applyAlignment="1">
      <alignment vertical="center" wrapText="1"/>
    </xf>
    <xf numFmtId="0" fontId="39" fillId="5" borderId="5" xfId="0" applyFont="1" applyFill="1" applyBorder="1" applyAlignment="1">
      <alignment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1" fillId="4" borderId="6" xfId="0" applyFont="1" applyFill="1" applyBorder="1"/>
    <xf numFmtId="49" fontId="31" fillId="5" borderId="1" xfId="0" applyNumberFormat="1" applyFont="1" applyFill="1" applyBorder="1" applyAlignment="1">
      <alignment horizontal="center" wrapText="1"/>
    </xf>
    <xf numFmtId="49" fontId="31" fillId="5" borderId="36" xfId="0" applyNumberFormat="1" applyFont="1" applyFill="1" applyBorder="1" applyAlignment="1">
      <alignment horizontal="center" wrapText="1"/>
    </xf>
    <xf numFmtId="49" fontId="31" fillId="5" borderId="12" xfId="0" applyNumberFormat="1" applyFont="1" applyFill="1" applyBorder="1" applyAlignment="1">
      <alignment horizontal="center" wrapText="1"/>
    </xf>
    <xf numFmtId="0" fontId="31" fillId="4" borderId="14" xfId="0" applyFont="1" applyFill="1" applyBorder="1" applyAlignment="1">
      <alignment wrapText="1"/>
    </xf>
    <xf numFmtId="0" fontId="28" fillId="4" borderId="14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5" xfId="0" applyFont="1" applyFill="1" applyBorder="1" applyAlignment="1">
      <alignment wrapText="1"/>
    </xf>
    <xf numFmtId="0" fontId="31" fillId="0" borderId="11" xfId="0" applyFont="1" applyBorder="1" applyAlignment="1">
      <alignment horizontal="left" wrapText="1" indent="3"/>
    </xf>
    <xf numFmtId="0" fontId="31" fillId="4" borderId="6" xfId="0" applyFont="1" applyFill="1" applyBorder="1" applyAlignment="1">
      <alignment vertical="top" wrapText="1"/>
    </xf>
    <xf numFmtId="0" fontId="31" fillId="4" borderId="11" xfId="0" applyFont="1" applyFill="1" applyBorder="1" applyAlignment="1">
      <alignment vertical="top" wrapText="1"/>
    </xf>
    <xf numFmtId="0" fontId="31" fillId="4" borderId="5" xfId="0" applyFont="1" applyFill="1" applyBorder="1" applyAlignment="1">
      <alignment horizontal="center" vertical="top" wrapText="1"/>
    </xf>
    <xf numFmtId="0" fontId="31" fillId="2" borderId="5" xfId="0" applyFont="1" applyFill="1" applyBorder="1" applyAlignment="1">
      <alignment horizontal="left" vertical="top" wrapText="1"/>
    </xf>
    <xf numFmtId="0" fontId="28" fillId="2" borderId="5" xfId="0" applyFont="1" applyFill="1" applyBorder="1" applyAlignment="1">
      <alignment vertical="top" wrapText="1"/>
    </xf>
    <xf numFmtId="0" fontId="42" fillId="5" borderId="11" xfId="0" applyFont="1" applyFill="1" applyBorder="1" applyAlignment="1">
      <alignment horizontal="justify" vertical="top" wrapText="1"/>
    </xf>
    <xf numFmtId="0" fontId="42" fillId="5" borderId="5" xfId="0" applyFont="1" applyFill="1" applyBorder="1" applyAlignment="1">
      <alignment horizontal="justify" vertical="top" wrapText="1"/>
    </xf>
    <xf numFmtId="0" fontId="31" fillId="5" borderId="41" xfId="0" applyFont="1" applyFill="1" applyBorder="1"/>
    <xf numFmtId="0" fontId="31" fillId="5" borderId="42" xfId="0" applyFont="1" applyFill="1" applyBorder="1"/>
    <xf numFmtId="0" fontId="28" fillId="0" borderId="5" xfId="0" applyFont="1" applyBorder="1" applyAlignment="1">
      <alignment horizontal="left" wrapText="1" indent="3"/>
    </xf>
    <xf numFmtId="0" fontId="31" fillId="5" borderId="5" xfId="0" applyFont="1" applyFill="1" applyBorder="1" applyAlignment="1">
      <alignment horizontal="justify" vertical="top" wrapText="1"/>
    </xf>
    <xf numFmtId="0" fontId="31" fillId="0" borderId="6" xfId="0" applyFont="1" applyBorder="1" applyAlignment="1">
      <alignment horizontal="justify" vertical="top" wrapText="1"/>
    </xf>
    <xf numFmtId="0" fontId="31" fillId="0" borderId="11" xfId="0" applyFont="1" applyFill="1" applyBorder="1" applyAlignment="1">
      <alignment horizontal="left" vertical="top" wrapText="1" indent="1"/>
    </xf>
    <xf numFmtId="0" fontId="40" fillId="0" borderId="11" xfId="0" applyFont="1" applyBorder="1" applyAlignment="1">
      <alignment wrapText="1"/>
    </xf>
    <xf numFmtId="0" fontId="40" fillId="0" borderId="11" xfId="0" applyFont="1" applyFill="1" applyBorder="1" applyAlignment="1">
      <alignment horizontal="left" wrapText="1"/>
    </xf>
    <xf numFmtId="49" fontId="31" fillId="5" borderId="5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31" fillId="2" borderId="11" xfId="0" applyFont="1" applyFill="1" applyBorder="1" applyAlignment="1">
      <alignment wrapText="1"/>
    </xf>
    <xf numFmtId="0" fontId="31" fillId="2" borderId="11" xfId="0" applyFont="1" applyFill="1" applyBorder="1" applyAlignment="1">
      <alignment horizontal="left" wrapText="1" indent="3"/>
    </xf>
    <xf numFmtId="0" fontId="31" fillId="2" borderId="11" xfId="0" applyFont="1" applyFill="1" applyBorder="1" applyAlignment="1">
      <alignment horizontal="left" wrapText="1" indent="4"/>
    </xf>
    <xf numFmtId="0" fontId="31" fillId="0" borderId="35" xfId="0" applyFont="1" applyFill="1" applyBorder="1"/>
    <xf numFmtId="0" fontId="31" fillId="0" borderId="6" xfId="0" applyFont="1" applyFill="1" applyBorder="1"/>
    <xf numFmtId="0" fontId="28" fillId="5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vertical="top" wrapText="1"/>
    </xf>
    <xf numFmtId="0" fontId="40" fillId="5" borderId="11" xfId="0" applyFont="1" applyFill="1" applyBorder="1" applyAlignment="1">
      <alignment wrapText="1"/>
    </xf>
    <xf numFmtId="0" fontId="31" fillId="4" borderId="11" xfId="0" applyFont="1" applyFill="1" applyBorder="1" applyAlignment="1">
      <alignment wrapText="1"/>
    </xf>
    <xf numFmtId="0" fontId="31" fillId="4" borderId="5" xfId="0" applyFont="1" applyFill="1" applyBorder="1" applyAlignment="1">
      <alignment wrapText="1"/>
    </xf>
    <xf numFmtId="0" fontId="0" fillId="4" borderId="6" xfId="0" applyFill="1" applyBorder="1"/>
    <xf numFmtId="0" fontId="42" fillId="4" borderId="11" xfId="0" applyFont="1" applyFill="1" applyBorder="1" applyAlignment="1">
      <alignment horizontal="center" vertical="center" wrapText="1"/>
    </xf>
    <xf numFmtId="0" fontId="31" fillId="0" borderId="35" xfId="0" applyFont="1" applyBorder="1"/>
    <xf numFmtId="0" fontId="28" fillId="4" borderId="5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wrapText="1"/>
    </xf>
    <xf numFmtId="0" fontId="31" fillId="0" borderId="11" xfId="0" applyFont="1" applyBorder="1" applyAlignment="1">
      <alignment horizontal="left" wrapText="1" indent="4"/>
    </xf>
    <xf numFmtId="0" fontId="31" fillId="2" borderId="13" xfId="0" applyFont="1" applyFill="1" applyBorder="1" applyAlignment="1">
      <alignment horizontal="left" wrapText="1" indent="2"/>
    </xf>
    <xf numFmtId="0" fontId="31" fillId="2" borderId="32" xfId="0" applyFont="1" applyFill="1" applyBorder="1" applyAlignment="1">
      <alignment horizontal="left" wrapText="1" indent="2"/>
    </xf>
    <xf numFmtId="0" fontId="31" fillId="2" borderId="32" xfId="0" applyFont="1" applyFill="1" applyBorder="1" applyAlignment="1">
      <alignment horizontal="left" wrapText="1" indent="4"/>
    </xf>
    <xf numFmtId="0" fontId="31" fillId="2" borderId="33" xfId="0" applyFont="1" applyFill="1" applyBorder="1" applyAlignment="1">
      <alignment horizontal="left" wrapText="1" indent="4"/>
    </xf>
    <xf numFmtId="0" fontId="31" fillId="2" borderId="6" xfId="0" applyFont="1" applyFill="1" applyBorder="1" applyAlignment="1">
      <alignment horizontal="left" wrapText="1" indent="2"/>
    </xf>
    <xf numFmtId="0" fontId="28" fillId="2" borderId="5" xfId="0" applyFont="1" applyFill="1" applyBorder="1" applyAlignment="1">
      <alignment horizontal="center" wrapText="1"/>
    </xf>
    <xf numFmtId="0" fontId="28" fillId="4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0" fontId="39" fillId="2" borderId="5" xfId="0" applyFont="1" applyFill="1" applyBorder="1" applyAlignment="1">
      <alignment wrapText="1"/>
    </xf>
    <xf numFmtId="0" fontId="39" fillId="2" borderId="11" xfId="0" applyFont="1" applyFill="1" applyBorder="1" applyAlignment="1">
      <alignment wrapText="1"/>
    </xf>
    <xf numFmtId="0" fontId="39" fillId="2" borderId="15" xfId="0" applyFont="1" applyFill="1" applyBorder="1" applyAlignment="1">
      <alignment wrapText="1"/>
    </xf>
    <xf numFmtId="0" fontId="31" fillId="2" borderId="32" xfId="0" applyFont="1" applyFill="1" applyBorder="1" applyAlignment="1">
      <alignment horizontal="left" wrapText="1" indent="3"/>
    </xf>
    <xf numFmtId="0" fontId="31" fillId="2" borderId="33" xfId="0" applyFont="1" applyFill="1" applyBorder="1" applyAlignment="1">
      <alignment horizontal="left" wrapText="1" indent="3"/>
    </xf>
    <xf numFmtId="0" fontId="28" fillId="4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vertical="top" wrapText="1"/>
    </xf>
    <xf numFmtId="0" fontId="31" fillId="4" borderId="4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vertical="top" wrapText="1"/>
    </xf>
    <xf numFmtId="0" fontId="31" fillId="0" borderId="0" xfId="0" applyFont="1" applyAlignment="1"/>
    <xf numFmtId="0" fontId="31" fillId="4" borderId="6" xfId="0" applyFont="1" applyFill="1" applyBorder="1" applyAlignment="1">
      <alignment horizontal="center" vertical="center" textRotation="90" wrapText="1"/>
    </xf>
    <xf numFmtId="0" fontId="31" fillId="0" borderId="6" xfId="0" applyFont="1" applyFill="1" applyBorder="1" applyAlignment="1">
      <alignment horizontal="center" wrapText="1"/>
    </xf>
    <xf numFmtId="49" fontId="31" fillId="5" borderId="34" xfId="0" applyNumberFormat="1" applyFont="1" applyFill="1" applyBorder="1" applyAlignment="1">
      <alignment horizontal="center" vertical="top" wrapText="1"/>
    </xf>
    <xf numFmtId="49" fontId="31" fillId="5" borderId="34" xfId="0" applyNumberFormat="1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 indent="1"/>
    </xf>
    <xf numFmtId="0" fontId="42" fillId="5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40" fillId="4" borderId="36" xfId="0" applyFont="1" applyFill="1" applyBorder="1" applyAlignment="1">
      <alignment horizontal="center" vertical="top" wrapText="1"/>
    </xf>
    <xf numFmtId="0" fontId="40" fillId="4" borderId="5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 wrapText="1"/>
    </xf>
    <xf numFmtId="0" fontId="28" fillId="0" borderId="5" xfId="0" applyFont="1" applyFill="1" applyBorder="1" applyAlignment="1">
      <alignment horizontal="center" vertical="top" wrapText="1"/>
    </xf>
    <xf numFmtId="0" fontId="31" fillId="0" borderId="5" xfId="0" applyFont="1" applyBorder="1" applyAlignment="1">
      <alignment horizontal="left" vertical="top" wrapText="1"/>
    </xf>
    <xf numFmtId="0" fontId="31" fillId="4" borderId="36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wrapText="1"/>
    </xf>
    <xf numFmtId="0" fontId="31" fillId="0" borderId="11" xfId="0" applyFont="1" applyBorder="1" applyAlignment="1">
      <alignment horizontal="left" vertical="top" wrapText="1" indent="3"/>
    </xf>
    <xf numFmtId="0" fontId="39" fillId="0" borderId="6" xfId="0" applyFont="1" applyFill="1" applyBorder="1" applyAlignment="1">
      <alignment textRotation="90" wrapText="1"/>
    </xf>
    <xf numFmtId="0" fontId="31" fillId="4" borderId="3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34" fillId="0" borderId="5" xfId="0" applyFont="1" applyBorder="1" applyAlignment="1">
      <alignment wrapText="1"/>
    </xf>
    <xf numFmtId="0" fontId="34" fillId="5" borderId="3" xfId="0" applyFont="1" applyFill="1" applyBorder="1" applyAlignment="1">
      <alignment horizontal="center" wrapText="1"/>
    </xf>
    <xf numFmtId="0" fontId="34" fillId="5" borderId="9" xfId="0" applyFont="1" applyFill="1" applyBorder="1" applyAlignment="1">
      <alignment horizontal="center" wrapText="1"/>
    </xf>
    <xf numFmtId="0" fontId="34" fillId="5" borderId="11" xfId="0" applyFont="1" applyFill="1" applyBorder="1" applyAlignment="1">
      <alignment horizontal="center" wrapText="1"/>
    </xf>
    <xf numFmtId="49" fontId="31" fillId="5" borderId="3" xfId="0" applyNumberFormat="1" applyFont="1" applyFill="1" applyBorder="1" applyAlignment="1">
      <alignment horizontal="center" wrapText="1"/>
    </xf>
    <xf numFmtId="0" fontId="28" fillId="5" borderId="14" xfId="0" applyFont="1" applyFill="1" applyBorder="1" applyAlignment="1">
      <alignment horizontal="center" wrapText="1"/>
    </xf>
    <xf numFmtId="0" fontId="40" fillId="4" borderId="14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left" vertical="top" wrapText="1" indent="2"/>
    </xf>
    <xf numFmtId="49" fontId="31" fillId="5" borderId="9" xfId="0" applyNumberFormat="1" applyFont="1" applyFill="1" applyBorder="1" applyAlignment="1">
      <alignment horizontal="center" wrapText="1"/>
    </xf>
    <xf numFmtId="0" fontId="42" fillId="0" borderId="5" xfId="0" applyFont="1" applyBorder="1" applyAlignment="1">
      <alignment vertical="top" wrapText="1"/>
    </xf>
    <xf numFmtId="0" fontId="28" fillId="5" borderId="5" xfId="0" applyFont="1" applyFill="1" applyBorder="1" applyAlignment="1">
      <alignment vertical="top" wrapText="1"/>
    </xf>
    <xf numFmtId="0" fontId="34" fillId="5" borderId="5" xfId="0" applyFont="1" applyFill="1" applyBorder="1" applyAlignment="1">
      <alignment wrapText="1"/>
    </xf>
    <xf numFmtId="49" fontId="31" fillId="5" borderId="11" xfId="0" applyNumberFormat="1" applyFont="1" applyFill="1" applyBorder="1" applyAlignment="1">
      <alignment horizontal="center" wrapText="1"/>
    </xf>
    <xf numFmtId="0" fontId="40" fillId="4" borderId="11" xfId="0" applyFont="1" applyFill="1" applyBorder="1" applyAlignment="1">
      <alignment vertical="top" wrapText="1"/>
    </xf>
    <xf numFmtId="0" fontId="31" fillId="0" borderId="5" xfId="0" applyFont="1" applyBorder="1" applyAlignment="1"/>
    <xf numFmtId="0" fontId="28" fillId="5" borderId="5" xfId="0" applyFont="1" applyFill="1" applyBorder="1" applyAlignment="1">
      <alignment wrapText="1"/>
    </xf>
    <xf numFmtId="0" fontId="40" fillId="5" borderId="5" xfId="0" applyFont="1" applyFill="1" applyBorder="1" applyAlignment="1">
      <alignment horizontal="center" wrapText="1"/>
    </xf>
    <xf numFmtId="0" fontId="31" fillId="2" borderId="11" xfId="0" applyFont="1" applyFill="1" applyBorder="1" applyAlignment="1">
      <alignment horizontal="left" vertical="top" wrapText="1" indent="3"/>
    </xf>
    <xf numFmtId="0" fontId="31" fillId="0" borderId="11" xfId="0" applyFont="1" applyFill="1" applyBorder="1" applyAlignment="1">
      <alignment horizontal="left" vertical="top" wrapText="1" indent="3"/>
    </xf>
    <xf numFmtId="0" fontId="28" fillId="4" borderId="14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justify" vertical="top" wrapText="1"/>
    </xf>
    <xf numFmtId="0" fontId="31" fillId="5" borderId="6" xfId="0" applyFont="1" applyFill="1" applyBorder="1" applyAlignment="1">
      <alignment horizontal="justify" vertical="top" wrapText="1"/>
    </xf>
    <xf numFmtId="0" fontId="31" fillId="0" borderId="6" xfId="0" applyFont="1" applyBorder="1" applyAlignment="1">
      <alignment horizontal="center" vertical="top" wrapText="1"/>
    </xf>
    <xf numFmtId="0" fontId="28" fillId="4" borderId="14" xfId="0" applyFont="1" applyFill="1" applyBorder="1" applyAlignment="1">
      <alignment vertical="top" wrapText="1"/>
    </xf>
    <xf numFmtId="49" fontId="34" fillId="5" borderId="36" xfId="0" applyNumberFormat="1" applyFont="1" applyFill="1" applyBorder="1" applyAlignment="1">
      <alignment horizontal="center" vertical="top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vertical="top" wrapText="1"/>
    </xf>
    <xf numFmtId="0" fontId="31" fillId="0" borderId="43" xfId="0" applyFont="1" applyBorder="1" applyAlignment="1">
      <alignment vertical="top" wrapText="1"/>
    </xf>
    <xf numFmtId="0" fontId="31" fillId="0" borderId="43" xfId="0" applyFont="1" applyBorder="1" applyAlignment="1">
      <alignment horizontal="left" vertical="top" wrapText="1" indent="1"/>
    </xf>
    <xf numFmtId="0" fontId="34" fillId="0" borderId="43" xfId="0" applyFont="1" applyBorder="1" applyAlignment="1">
      <alignment vertical="top" wrapText="1"/>
    </xf>
    <xf numFmtId="0" fontId="34" fillId="0" borderId="43" xfId="0" applyFont="1" applyBorder="1" applyAlignment="1">
      <alignment horizontal="left" vertical="top" wrapText="1" indent="1"/>
    </xf>
    <xf numFmtId="0" fontId="34" fillId="0" borderId="43" xfId="0" applyFont="1" applyBorder="1" applyAlignment="1">
      <alignment horizontal="left" vertical="top" wrapText="1" indent="3"/>
    </xf>
    <xf numFmtId="0" fontId="31" fillId="4" borderId="36" xfId="0" applyFont="1" applyFill="1" applyBorder="1" applyAlignment="1">
      <alignment wrapText="1"/>
    </xf>
    <xf numFmtId="0" fontId="31" fillId="0" borderId="3" xfId="0" applyFont="1" applyFill="1" applyBorder="1" applyAlignment="1">
      <alignment wrapText="1"/>
    </xf>
    <xf numFmtId="0" fontId="31" fillId="5" borderId="36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wrapText="1"/>
    </xf>
    <xf numFmtId="0" fontId="42" fillId="2" borderId="5" xfId="0" applyFont="1" applyFill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48" fillId="4" borderId="14" xfId="0" applyFont="1" applyFill="1" applyBorder="1" applyAlignment="1">
      <alignment wrapText="1"/>
    </xf>
    <xf numFmtId="0" fontId="48" fillId="4" borderId="11" xfId="0" applyFont="1" applyFill="1" applyBorder="1" applyAlignment="1">
      <alignment wrapText="1"/>
    </xf>
    <xf numFmtId="0" fontId="41" fillId="0" borderId="0" xfId="0" applyFont="1" applyBorder="1"/>
    <xf numFmtId="0" fontId="28" fillId="4" borderId="44" xfId="0" applyFont="1" applyFill="1" applyBorder="1" applyAlignment="1">
      <alignment horizontal="center" vertical="top" wrapText="1"/>
    </xf>
    <xf numFmtId="0" fontId="31" fillId="4" borderId="6" xfId="0" applyFont="1" applyFill="1" applyBorder="1" applyAlignment="1">
      <alignment horizontal="justify" vertical="top" wrapText="1"/>
    </xf>
    <xf numFmtId="0" fontId="31" fillId="0" borderId="11" xfId="0" applyFont="1" applyFill="1" applyBorder="1" applyAlignment="1">
      <alignment horizontal="justify" vertical="top" wrapText="1"/>
    </xf>
    <xf numFmtId="0" fontId="31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left" vertical="top" wrapText="1" indent="1"/>
    </xf>
    <xf numFmtId="0" fontId="39" fillId="0" borderId="13" xfId="0" applyFont="1" applyBorder="1" applyAlignment="1">
      <alignment horizontal="left" wrapText="1" indent="1"/>
    </xf>
    <xf numFmtId="0" fontId="31" fillId="5" borderId="23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>
      <alignment horizontal="justify"/>
    </xf>
    <xf numFmtId="0" fontId="49" fillId="0" borderId="0" xfId="0" applyFont="1"/>
    <xf numFmtId="0" fontId="31" fillId="4" borderId="13" xfId="0" applyFont="1" applyFill="1" applyBorder="1" applyAlignment="1">
      <alignment wrapText="1"/>
    </xf>
    <xf numFmtId="0" fontId="42" fillId="4" borderId="6" xfId="0" applyFont="1" applyFill="1" applyBorder="1" applyAlignment="1">
      <alignment horizontal="center" textRotation="90" wrapText="1"/>
    </xf>
    <xf numFmtId="0" fontId="40" fillId="4" borderId="11" xfId="0" applyFont="1" applyFill="1" applyBorder="1" applyAlignment="1">
      <alignment wrapText="1"/>
    </xf>
    <xf numFmtId="0" fontId="31" fillId="2" borderId="45" xfId="0" applyFont="1" applyFill="1" applyBorder="1" applyAlignment="1">
      <alignment wrapText="1"/>
    </xf>
    <xf numFmtId="0" fontId="31" fillId="4" borderId="14" xfId="0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wrapText="1"/>
    </xf>
    <xf numFmtId="49" fontId="31" fillId="5" borderId="23" xfId="0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wrapText="1"/>
    </xf>
    <xf numFmtId="0" fontId="28" fillId="4" borderId="5" xfId="0" applyFont="1" applyFill="1" applyBorder="1" applyAlignment="1">
      <alignment vertical="top" wrapText="1"/>
    </xf>
    <xf numFmtId="0" fontId="31" fillId="4" borderId="5" xfId="0" applyFont="1" applyFill="1" applyBorder="1" applyAlignment="1">
      <alignment vertical="top" wrapText="1"/>
    </xf>
    <xf numFmtId="0" fontId="28" fillId="4" borderId="3" xfId="0" applyFont="1" applyFill="1" applyBorder="1" applyAlignment="1">
      <alignment horizontal="center" vertical="center" textRotation="90" wrapText="1"/>
    </xf>
    <xf numFmtId="0" fontId="31" fillId="5" borderId="34" xfId="0" applyFont="1" applyFill="1" applyBorder="1" applyAlignment="1">
      <alignment horizontal="center" wrapText="1"/>
    </xf>
    <xf numFmtId="49" fontId="31" fillId="5" borderId="13" xfId="0" applyNumberFormat="1" applyFont="1" applyFill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28" fillId="0" borderId="23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5" borderId="35" xfId="0" applyFont="1" applyFill="1" applyBorder="1" applyAlignment="1">
      <alignment horizontal="center" wrapText="1"/>
    </xf>
    <xf numFmtId="49" fontId="31" fillId="5" borderId="23" xfId="0" applyNumberFormat="1" applyFont="1" applyFill="1" applyBorder="1" applyAlignment="1">
      <alignment horizontal="center" wrapText="1"/>
    </xf>
    <xf numFmtId="0" fontId="31" fillId="5" borderId="3" xfId="0" applyNumberFormat="1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right" wrapText="1"/>
    </xf>
    <xf numFmtId="0" fontId="31" fillId="5" borderId="5" xfId="0" applyFont="1" applyFill="1" applyBorder="1" applyAlignment="1">
      <alignment horizontal="right" vertical="top" wrapText="1"/>
    </xf>
    <xf numFmtId="0" fontId="31" fillId="5" borderId="9" xfId="0" applyNumberFormat="1" applyFont="1" applyFill="1" applyBorder="1" applyAlignment="1">
      <alignment horizontal="center" vertical="center" wrapText="1"/>
    </xf>
    <xf numFmtId="0" fontId="31" fillId="5" borderId="11" xfId="0" applyNumberFormat="1" applyFont="1" applyFill="1" applyBorder="1" applyAlignment="1">
      <alignment horizontal="center" vertical="center" wrapText="1"/>
    </xf>
    <xf numFmtId="0" fontId="31" fillId="5" borderId="5" xfId="0" applyNumberFormat="1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vertical="top" wrapText="1"/>
    </xf>
    <xf numFmtId="0" fontId="28" fillId="5" borderId="5" xfId="0" applyFont="1" applyFill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1" fillId="0" borderId="35" xfId="0" applyFont="1" applyBorder="1" applyAlignment="1">
      <alignment wrapText="1"/>
    </xf>
    <xf numFmtId="0" fontId="31" fillId="0" borderId="46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5" borderId="47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wrapText="1"/>
    </xf>
    <xf numFmtId="0" fontId="31" fillId="0" borderId="43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31" fillId="5" borderId="48" xfId="0" applyFont="1" applyFill="1" applyBorder="1" applyAlignment="1">
      <alignment horizontal="center" wrapText="1"/>
    </xf>
    <xf numFmtId="0" fontId="31" fillId="5" borderId="14" xfId="0" quotePrefix="1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left" wrapText="1"/>
    </xf>
    <xf numFmtId="0" fontId="31" fillId="0" borderId="6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left" wrapText="1"/>
    </xf>
    <xf numFmtId="0" fontId="31" fillId="0" borderId="34" xfId="0" applyFont="1" applyFill="1" applyBorder="1" applyAlignment="1">
      <alignment horizontal="left" wrapText="1"/>
    </xf>
    <xf numFmtId="0" fontId="31" fillId="0" borderId="36" xfId="0" applyFont="1" applyBorder="1" applyAlignment="1">
      <alignment wrapText="1"/>
    </xf>
    <xf numFmtId="0" fontId="28" fillId="0" borderId="33" xfId="0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49" fontId="31" fillId="5" borderId="36" xfId="0" applyNumberFormat="1" applyFont="1" applyFill="1" applyBorder="1" applyAlignment="1">
      <alignment horizontal="center"/>
    </xf>
    <xf numFmtId="0" fontId="31" fillId="0" borderId="4" xfId="0" applyFont="1" applyBorder="1" applyAlignment="1">
      <alignment wrapText="1"/>
    </xf>
    <xf numFmtId="0" fontId="31" fillId="0" borderId="7" xfId="0" applyFont="1" applyFill="1" applyBorder="1"/>
    <xf numFmtId="0" fontId="47" fillId="0" borderId="33" xfId="0" applyFont="1" applyBorder="1" applyAlignment="1">
      <alignment horizontal="left" wrapText="1" indent="1"/>
    </xf>
    <xf numFmtId="0" fontId="31" fillId="0" borderId="33" xfId="0" applyFont="1" applyBorder="1" applyAlignment="1">
      <alignment horizontal="left" wrapText="1" indent="2"/>
    </xf>
    <xf numFmtId="0" fontId="28" fillId="0" borderId="33" xfId="0" applyFont="1" applyBorder="1" applyAlignment="1">
      <alignment wrapText="1"/>
    </xf>
    <xf numFmtId="0" fontId="47" fillId="0" borderId="33" xfId="0" applyFont="1" applyFill="1" applyBorder="1" applyAlignment="1">
      <alignment horizontal="left" wrapText="1" indent="1"/>
    </xf>
    <xf numFmtId="0" fontId="31" fillId="0" borderId="33" xfId="0" applyFont="1" applyFill="1" applyBorder="1" applyAlignment="1">
      <alignment horizontal="left" wrapText="1" indent="2"/>
    </xf>
    <xf numFmtId="0" fontId="28" fillId="0" borderId="13" xfId="0" applyFont="1" applyBorder="1" applyAlignment="1">
      <alignment wrapText="1"/>
    </xf>
    <xf numFmtId="0" fontId="31" fillId="0" borderId="0" xfId="0" applyFont="1" applyBorder="1"/>
    <xf numFmtId="0" fontId="31" fillId="0" borderId="8" xfId="0" applyFont="1" applyBorder="1" applyAlignment="1">
      <alignment wrapText="1"/>
    </xf>
    <xf numFmtId="0" fontId="31" fillId="0" borderId="40" xfId="0" applyFont="1" applyBorder="1" applyAlignment="1">
      <alignment wrapText="1"/>
    </xf>
    <xf numFmtId="0" fontId="28" fillId="5" borderId="12" xfId="0" applyFont="1" applyFill="1" applyBorder="1" applyAlignment="1">
      <alignment wrapText="1"/>
    </xf>
    <xf numFmtId="0" fontId="31" fillId="5" borderId="36" xfId="0" applyFont="1" applyFill="1" applyBorder="1" applyAlignment="1">
      <alignment wrapText="1"/>
    </xf>
    <xf numFmtId="0" fontId="28" fillId="5" borderId="33" xfId="0" applyFont="1" applyFill="1" applyBorder="1" applyAlignment="1">
      <alignment wrapText="1"/>
    </xf>
    <xf numFmtId="0" fontId="31" fillId="5" borderId="4" xfId="0" applyFont="1" applyFill="1" applyBorder="1" applyAlignment="1">
      <alignment wrapText="1"/>
    </xf>
    <xf numFmtId="0" fontId="47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31" fillId="5" borderId="9" xfId="0" applyFont="1" applyFill="1" applyBorder="1"/>
    <xf numFmtId="0" fontId="31" fillId="0" borderId="13" xfId="0" applyFont="1" applyBorder="1" applyAlignment="1">
      <alignment wrapText="1"/>
    </xf>
    <xf numFmtId="0" fontId="41" fillId="4" borderId="12" xfId="0" applyFont="1" applyFill="1" applyBorder="1" applyAlignment="1">
      <alignment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31" fillId="4" borderId="33" xfId="0" applyFont="1" applyFill="1" applyBorder="1" applyAlignment="1">
      <alignment horizontal="left" vertical="top" wrapText="1"/>
    </xf>
    <xf numFmtId="0" fontId="31" fillId="5" borderId="40" xfId="0" quotePrefix="1" applyFont="1" applyFill="1" applyBorder="1" applyAlignment="1">
      <alignment horizontal="center" vertical="center"/>
    </xf>
    <xf numFmtId="0" fontId="31" fillId="5" borderId="8" xfId="0" quotePrefix="1" applyFont="1" applyFill="1" applyBorder="1" applyAlignment="1">
      <alignment horizontal="center"/>
    </xf>
    <xf numFmtId="0" fontId="31" fillId="5" borderId="49" xfId="0" quotePrefix="1" applyFont="1" applyFill="1" applyBorder="1" applyAlignment="1">
      <alignment horizontal="center"/>
    </xf>
    <xf numFmtId="0" fontId="31" fillId="0" borderId="8" xfId="0" applyFont="1" applyFill="1" applyBorder="1"/>
    <xf numFmtId="0" fontId="41" fillId="0" borderId="0" xfId="0" applyFont="1" applyAlignment="1">
      <alignment horizontal="left" vertical="top"/>
    </xf>
    <xf numFmtId="0" fontId="41" fillId="4" borderId="13" xfId="0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horizontal="center" wrapText="1"/>
    </xf>
    <xf numFmtId="0" fontId="31" fillId="4" borderId="50" xfId="0" applyFont="1" applyFill="1" applyBorder="1" applyAlignment="1">
      <alignment horizontal="center" wrapText="1"/>
    </xf>
    <xf numFmtId="0" fontId="31" fillId="4" borderId="51" xfId="0" applyFont="1" applyFill="1" applyBorder="1" applyAlignment="1">
      <alignment horizontal="center" wrapText="1"/>
    </xf>
    <xf numFmtId="0" fontId="28" fillId="4" borderId="51" xfId="0" applyFont="1" applyFill="1" applyBorder="1" applyAlignment="1">
      <alignment horizontal="center" wrapText="1"/>
    </xf>
    <xf numFmtId="0" fontId="28" fillId="4" borderId="51" xfId="0" applyFont="1" applyFill="1" applyBorder="1" applyAlignment="1">
      <alignment wrapText="1"/>
    </xf>
    <xf numFmtId="0" fontId="28" fillId="4" borderId="52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 vertical="center"/>
    </xf>
    <xf numFmtId="0" fontId="31" fillId="0" borderId="13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31" fillId="0" borderId="33" xfId="0" applyFont="1" applyFill="1" applyBorder="1" applyAlignment="1">
      <alignment horizontal="left" vertical="top" wrapText="1"/>
    </xf>
    <xf numFmtId="0" fontId="31" fillId="0" borderId="53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/>
    </xf>
    <xf numFmtId="0" fontId="31" fillId="4" borderId="12" xfId="0" applyFont="1" applyFill="1" applyBorder="1" applyAlignment="1">
      <alignment horizontal="left" vertical="top"/>
    </xf>
    <xf numFmtId="0" fontId="28" fillId="4" borderId="36" xfId="0" applyFont="1" applyFill="1" applyBorder="1" applyAlignment="1">
      <alignment horizontal="left" vertical="top"/>
    </xf>
    <xf numFmtId="0" fontId="31" fillId="4" borderId="13" xfId="0" applyFont="1" applyFill="1" applyBorder="1" applyAlignment="1">
      <alignment horizontal="left" vertical="top"/>
    </xf>
    <xf numFmtId="0" fontId="31" fillId="4" borderId="5" xfId="0" applyFont="1" applyFill="1" applyBorder="1"/>
    <xf numFmtId="0" fontId="31" fillId="0" borderId="12" xfId="0" applyFont="1" applyFill="1" applyBorder="1" applyAlignment="1">
      <alignment horizontal="left" vertical="top"/>
    </xf>
    <xf numFmtId="0" fontId="31" fillId="5" borderId="54" xfId="0" applyFont="1" applyFill="1" applyBorder="1" applyAlignment="1">
      <alignment horizontal="center" vertical="center"/>
    </xf>
    <xf numFmtId="0" fontId="31" fillId="5" borderId="55" xfId="0" quotePrefix="1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left" vertical="top" wrapText="1"/>
    </xf>
    <xf numFmtId="0" fontId="31" fillId="0" borderId="57" xfId="0" applyFont="1" applyFill="1" applyBorder="1" applyAlignment="1">
      <alignment horizontal="left" vertical="top" wrapText="1"/>
    </xf>
    <xf numFmtId="0" fontId="31" fillId="0" borderId="22" xfId="0" applyFont="1" applyFill="1" applyBorder="1" applyAlignment="1">
      <alignment horizontal="left" vertical="top" wrapText="1"/>
    </xf>
    <xf numFmtId="0" fontId="31" fillId="5" borderId="22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left" vertical="top" wrapText="1"/>
    </xf>
    <xf numFmtId="0" fontId="31" fillId="4" borderId="8" xfId="0" applyFont="1" applyFill="1" applyBorder="1"/>
    <xf numFmtId="0" fontId="31" fillId="4" borderId="8" xfId="0" applyFont="1" applyFill="1" applyBorder="1" applyAlignment="1">
      <alignment horizontal="center" textRotation="90" wrapText="1"/>
    </xf>
    <xf numFmtId="0" fontId="31" fillId="4" borderId="0" xfId="0" applyFont="1" applyFill="1"/>
    <xf numFmtId="0" fontId="31" fillId="4" borderId="8" xfId="0" applyFont="1" applyFill="1" applyBorder="1" applyAlignment="1">
      <alignment horizontal="center" wrapText="1"/>
    </xf>
    <xf numFmtId="0" fontId="39" fillId="4" borderId="8" xfId="0" applyFont="1" applyFill="1" applyBorder="1" applyAlignment="1">
      <alignment horizontal="center" textRotation="90" wrapText="1"/>
    </xf>
    <xf numFmtId="0" fontId="31" fillId="4" borderId="7" xfId="0" applyFont="1" applyFill="1" applyBorder="1" applyAlignment="1">
      <alignment horizontal="center" textRotation="90" wrapText="1"/>
    </xf>
    <xf numFmtId="0" fontId="29" fillId="4" borderId="14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34" fillId="0" borderId="9" xfId="0" applyFont="1" applyBorder="1" applyAlignment="1">
      <alignment horizontal="left" vertical="top" wrapText="1" indent="1"/>
    </xf>
    <xf numFmtId="0" fontId="34" fillId="0" borderId="11" xfId="0" applyFont="1" applyBorder="1" applyAlignment="1">
      <alignment horizontal="left" vertical="top" wrapText="1" indent="1"/>
    </xf>
    <xf numFmtId="0" fontId="28" fillId="0" borderId="0" xfId="0" applyFont="1" applyAlignment="1">
      <alignment horizontal="justify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justify" vertical="top" wrapText="1"/>
    </xf>
    <xf numFmtId="0" fontId="28" fillId="5" borderId="9" xfId="0" applyFont="1" applyFill="1" applyBorder="1" applyAlignment="1">
      <alignment horizontal="justify" vertical="top" wrapText="1"/>
    </xf>
    <xf numFmtId="0" fontId="28" fillId="5" borderId="11" xfId="0" applyFont="1" applyFill="1" applyBorder="1" applyAlignment="1">
      <alignment horizontal="justify" vertical="top" wrapText="1"/>
    </xf>
    <xf numFmtId="0" fontId="39" fillId="4" borderId="54" xfId="0" applyFont="1" applyFill="1" applyBorder="1" applyAlignment="1">
      <alignment horizontal="center" textRotation="90" wrapText="1"/>
    </xf>
    <xf numFmtId="0" fontId="39" fillId="4" borderId="55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left" vertical="top" wrapText="1" indent="2"/>
    </xf>
    <xf numFmtId="0" fontId="4" fillId="0" borderId="11" xfId="0" applyFont="1" applyBorder="1" applyAlignment="1">
      <alignment horizontal="left"/>
    </xf>
    <xf numFmtId="0" fontId="31" fillId="0" borderId="58" xfId="0" applyFont="1" applyFill="1" applyBorder="1"/>
    <xf numFmtId="0" fontId="39" fillId="4" borderId="40" xfId="0" applyFont="1" applyFill="1" applyBorder="1" applyAlignment="1">
      <alignment horizontal="center" wrapText="1"/>
    </xf>
    <xf numFmtId="0" fontId="31" fillId="4" borderId="58" xfId="0" applyFont="1" applyFill="1" applyBorder="1" applyAlignment="1">
      <alignment horizontal="center" textRotation="90" wrapText="1"/>
    </xf>
    <xf numFmtId="0" fontId="39" fillId="4" borderId="53" xfId="0" applyFont="1" applyFill="1" applyBorder="1" applyAlignment="1">
      <alignment horizontal="center" textRotation="90" wrapText="1"/>
    </xf>
    <xf numFmtId="166" fontId="19" fillId="0" borderId="0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67" fontId="51" fillId="0" borderId="0" xfId="0" applyNumberFormat="1" applyFont="1" applyFill="1" applyBorder="1" applyAlignment="1">
      <alignment horizontal="left"/>
    </xf>
    <xf numFmtId="0" fontId="52" fillId="0" borderId="0" xfId="0" applyFont="1"/>
    <xf numFmtId="0" fontId="32" fillId="0" borderId="0" xfId="0" applyFont="1" applyFill="1" applyAlignment="1">
      <alignment horizontal="right" vertical="center"/>
    </xf>
    <xf numFmtId="165" fontId="53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Fill="1"/>
    <xf numFmtId="0" fontId="32" fillId="0" borderId="0" xfId="0" applyFont="1" applyFill="1" applyAlignment="1">
      <alignment horizontal="left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right" vertical="center"/>
    </xf>
    <xf numFmtId="165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/>
    <xf numFmtId="0" fontId="56" fillId="0" borderId="0" xfId="0" applyFont="1" applyFill="1"/>
    <xf numFmtId="0" fontId="56" fillId="4" borderId="0" xfId="0" applyFont="1" applyFill="1"/>
    <xf numFmtId="0" fontId="56" fillId="0" borderId="0" xfId="0" applyFont="1"/>
    <xf numFmtId="165" fontId="55" fillId="0" borderId="0" xfId="0" applyNumberFormat="1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Alignment="1">
      <alignment horizontal="left" vertical="top"/>
    </xf>
    <xf numFmtId="0" fontId="30" fillId="0" borderId="0" xfId="0" applyFont="1" applyFill="1"/>
    <xf numFmtId="165" fontId="5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39" fillId="4" borderId="59" xfId="0" applyFont="1" applyFill="1" applyBorder="1" applyAlignment="1">
      <alignment horizontal="center" textRotation="90" wrapText="1"/>
    </xf>
    <xf numFmtId="0" fontId="31" fillId="4" borderId="60" xfId="0" applyFont="1" applyFill="1" applyBorder="1" applyAlignment="1">
      <alignment horizontal="center" textRotation="90" wrapText="1"/>
    </xf>
    <xf numFmtId="0" fontId="28" fillId="4" borderId="53" xfId="0" applyFont="1" applyFill="1" applyBorder="1" applyAlignment="1">
      <alignment horizontal="center" textRotation="90" wrapText="1"/>
    </xf>
    <xf numFmtId="0" fontId="1" fillId="6" borderId="30" xfId="0" applyFont="1" applyFill="1" applyBorder="1"/>
    <xf numFmtId="0" fontId="1" fillId="0" borderId="30" xfId="0" applyFont="1" applyFill="1" applyBorder="1"/>
    <xf numFmtId="0" fontId="58" fillId="0" borderId="4" xfId="0" applyFont="1" applyFill="1" applyBorder="1" applyAlignment="1">
      <alignment horizontal="right" vertical="top" wrapText="1"/>
    </xf>
    <xf numFmtId="0" fontId="58" fillId="0" borderId="18" xfId="0" applyFont="1" applyFill="1" applyBorder="1" applyAlignment="1">
      <alignment horizontal="right" vertical="top" wrapText="1"/>
    </xf>
    <xf numFmtId="0" fontId="58" fillId="0" borderId="20" xfId="0" applyFont="1" applyFill="1" applyBorder="1" applyAlignment="1">
      <alignment horizontal="right" vertical="top" wrapText="1"/>
    </xf>
    <xf numFmtId="0" fontId="58" fillId="6" borderId="4" xfId="0" applyFont="1" applyFill="1" applyBorder="1" applyAlignment="1">
      <alignment horizontal="right" vertical="top" wrapText="1"/>
    </xf>
    <xf numFmtId="0" fontId="58" fillId="0" borderId="19" xfId="0" applyFont="1" applyFill="1" applyBorder="1" applyAlignment="1">
      <alignment horizontal="right" vertical="top" wrapText="1"/>
    </xf>
    <xf numFmtId="0" fontId="59" fillId="6" borderId="14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center" wrapText="1"/>
    </xf>
    <xf numFmtId="0" fontId="3" fillId="6" borderId="62" xfId="0" applyFont="1" applyFill="1" applyBorder="1" applyAlignment="1">
      <alignment horizontal="center" wrapText="1"/>
    </xf>
    <xf numFmtId="0" fontId="0" fillId="7" borderId="0" xfId="0" applyFill="1"/>
    <xf numFmtId="0" fontId="3" fillId="0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6" borderId="5" xfId="0" applyFont="1" applyFill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63" xfId="0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31" fillId="7" borderId="9" xfId="0" applyFont="1" applyFill="1" applyBorder="1" applyAlignment="1">
      <alignment horizontal="right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5" borderId="40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6" borderId="8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wrapText="1"/>
    </xf>
    <xf numFmtId="0" fontId="3" fillId="7" borderId="51" xfId="0" applyFont="1" applyFill="1" applyBorder="1" applyAlignment="1">
      <alignment horizontal="center" vertical="top" wrapText="1"/>
    </xf>
    <xf numFmtId="0" fontId="3" fillId="6" borderId="3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6" borderId="64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vertical="top" wrapText="1"/>
    </xf>
    <xf numFmtId="0" fontId="3" fillId="7" borderId="50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10" fillId="5" borderId="39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6" borderId="8" xfId="0" applyFont="1" applyFill="1" applyBorder="1" applyAlignment="1">
      <alignment vertical="top" wrapText="1"/>
    </xf>
    <xf numFmtId="0" fontId="61" fillId="5" borderId="8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62" fillId="0" borderId="8" xfId="0" applyFont="1" applyFill="1" applyBorder="1" applyAlignment="1">
      <alignment horizontal="center" vertical="top" wrapText="1"/>
    </xf>
    <xf numFmtId="0" fontId="62" fillId="6" borderId="8" xfId="0" applyFont="1" applyFill="1" applyBorder="1" applyAlignment="1">
      <alignment horizontal="center" vertical="top" wrapText="1"/>
    </xf>
    <xf numFmtId="0" fontId="62" fillId="2" borderId="8" xfId="0" applyFont="1" applyFill="1" applyBorder="1" applyAlignment="1">
      <alignment horizontal="center" vertical="top" wrapText="1"/>
    </xf>
    <xf numFmtId="0" fontId="62" fillId="6" borderId="65" xfId="0" applyFont="1" applyFill="1" applyBorder="1" applyAlignment="1">
      <alignment horizontal="center" vertical="top" wrapText="1"/>
    </xf>
    <xf numFmtId="0" fontId="62" fillId="2" borderId="65" xfId="0" applyFont="1" applyFill="1" applyBorder="1" applyAlignment="1">
      <alignment horizontal="center" vertical="top" wrapText="1"/>
    </xf>
    <xf numFmtId="0" fontId="62" fillId="2" borderId="66" xfId="0" applyFont="1" applyFill="1" applyBorder="1" applyAlignment="1">
      <alignment horizontal="center" vertical="top" wrapText="1"/>
    </xf>
    <xf numFmtId="0" fontId="62" fillId="6" borderId="66" xfId="0" applyFont="1" applyFill="1" applyBorder="1" applyAlignment="1">
      <alignment horizontal="center" vertical="top" wrapText="1"/>
    </xf>
    <xf numFmtId="0" fontId="62" fillId="2" borderId="67" xfId="0" applyFont="1" applyFill="1" applyBorder="1" applyAlignment="1">
      <alignment horizontal="center" vertical="top" wrapText="1"/>
    </xf>
    <xf numFmtId="0" fontId="63" fillId="9" borderId="8" xfId="0" applyFont="1" applyFill="1" applyBorder="1" applyAlignment="1">
      <alignment horizontal="center" vertical="top" wrapText="1"/>
    </xf>
    <xf numFmtId="0" fontId="62" fillId="6" borderId="67" xfId="0" applyFont="1" applyFill="1" applyBorder="1" applyAlignment="1">
      <alignment horizontal="center" vertical="top" wrapText="1"/>
    </xf>
    <xf numFmtId="0" fontId="62" fillId="0" borderId="8" xfId="0" applyFont="1" applyBorder="1" applyAlignment="1">
      <alignment horizontal="center" vertical="top" wrapText="1"/>
    </xf>
    <xf numFmtId="0" fontId="62" fillId="2" borderId="68" xfId="0" applyFont="1" applyFill="1" applyBorder="1" applyAlignment="1">
      <alignment horizontal="center" vertical="top" wrapText="1"/>
    </xf>
    <xf numFmtId="0" fontId="62" fillId="6" borderId="68" xfId="0" applyFont="1" applyFill="1" applyBorder="1" applyAlignment="1">
      <alignment horizontal="center" vertical="top" wrapText="1"/>
    </xf>
    <xf numFmtId="0" fontId="62" fillId="2" borderId="69" xfId="0" applyFont="1" applyFill="1" applyBorder="1" applyAlignment="1">
      <alignment horizontal="center" vertical="top" wrapText="1"/>
    </xf>
    <xf numFmtId="0" fontId="62" fillId="6" borderId="69" xfId="0" applyFont="1" applyFill="1" applyBorder="1" applyAlignment="1">
      <alignment horizontal="center" vertical="top" wrapText="1"/>
    </xf>
    <xf numFmtId="0" fontId="62" fillId="2" borderId="51" xfId="0" applyFont="1" applyFill="1" applyBorder="1" applyAlignment="1">
      <alignment horizontal="center" vertical="top" wrapText="1"/>
    </xf>
    <xf numFmtId="0" fontId="63" fillId="9" borderId="5" xfId="0" applyFont="1" applyFill="1" applyBorder="1" applyAlignment="1">
      <alignment horizontal="center" vertical="top" wrapText="1"/>
    </xf>
    <xf numFmtId="0" fontId="62" fillId="6" borderId="51" xfId="0" applyFont="1" applyFill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5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5" borderId="70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5" fillId="0" borderId="8" xfId="0" applyFont="1" applyFill="1" applyBorder="1" applyAlignment="1">
      <alignment horizontal="center" vertical="top" wrapText="1"/>
    </xf>
    <xf numFmtId="0" fontId="65" fillId="6" borderId="8" xfId="0" applyFont="1" applyFill="1" applyBorder="1" applyAlignment="1">
      <alignment horizontal="center" vertical="top" wrapText="1"/>
    </xf>
    <xf numFmtId="0" fontId="65" fillId="0" borderId="8" xfId="0" applyFont="1" applyBorder="1" applyAlignment="1">
      <alignment horizontal="center" vertical="top" wrapText="1"/>
    </xf>
    <xf numFmtId="0" fontId="66" fillId="0" borderId="8" xfId="0" applyFont="1" applyBorder="1" applyAlignment="1">
      <alignment horizontal="center" vertical="top" wrapText="1"/>
    </xf>
    <xf numFmtId="0" fontId="66" fillId="6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70" xfId="0" applyFont="1" applyFill="1" applyBorder="1" applyAlignment="1">
      <alignment vertical="top" wrapText="1"/>
    </xf>
    <xf numFmtId="0" fontId="11" fillId="6" borderId="8" xfId="0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quotePrefix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65" fillId="0" borderId="5" xfId="0" applyFont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58" fillId="6" borderId="6" xfId="0" applyFont="1" applyFill="1" applyBorder="1" applyAlignment="1">
      <alignment horizontal="right" vertical="top" wrapText="1"/>
    </xf>
    <xf numFmtId="0" fontId="59" fillId="6" borderId="18" xfId="0" applyFont="1" applyFill="1" applyBorder="1" applyAlignment="1">
      <alignment vertical="top" wrapText="1"/>
    </xf>
    <xf numFmtId="0" fontId="58" fillId="0" borderId="9" xfId="0" applyFont="1" applyFill="1" applyBorder="1" applyAlignment="1">
      <alignment horizontal="right" vertical="top" wrapText="1"/>
    </xf>
    <xf numFmtId="0" fontId="58" fillId="6" borderId="18" xfId="0" applyFont="1" applyFill="1" applyBorder="1" applyAlignment="1">
      <alignment horizontal="right" vertical="top" wrapText="1"/>
    </xf>
    <xf numFmtId="0" fontId="58" fillId="0" borderId="5" xfId="0" applyFont="1" applyFill="1" applyBorder="1" applyAlignment="1">
      <alignment vertical="top" wrapText="1"/>
    </xf>
    <xf numFmtId="0" fontId="58" fillId="0" borderId="4" xfId="0" applyFont="1" applyFill="1" applyBorder="1" applyAlignment="1">
      <alignment vertical="top" wrapText="1"/>
    </xf>
    <xf numFmtId="0" fontId="13" fillId="6" borderId="22" xfId="0" applyFont="1" applyFill="1" applyBorder="1" applyAlignment="1">
      <alignment horizontal="center"/>
    </xf>
    <xf numFmtId="0" fontId="65" fillId="6" borderId="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65" fillId="0" borderId="5" xfId="0" applyFont="1" applyBorder="1" applyAlignment="1">
      <alignment horizontal="center" wrapText="1"/>
    </xf>
    <xf numFmtId="0" fontId="0" fillId="5" borderId="6" xfId="0" applyFill="1" applyBorder="1"/>
    <xf numFmtId="0" fontId="10" fillId="5" borderId="10" xfId="0" applyFont="1" applyFill="1" applyBorder="1" applyAlignment="1">
      <alignment horizontal="justify" wrapText="1"/>
    </xf>
    <xf numFmtId="0" fontId="60" fillId="5" borderId="10" xfId="0" applyFont="1" applyFill="1" applyBorder="1" applyAlignment="1">
      <alignment horizontal="justify" wrapText="1"/>
    </xf>
    <xf numFmtId="0" fontId="68" fillId="5" borderId="10" xfId="0" applyFont="1" applyFill="1" applyBorder="1" applyAlignment="1">
      <alignment horizontal="justify" wrapText="1"/>
    </xf>
    <xf numFmtId="0" fontId="68" fillId="5" borderId="71" xfId="0" applyFont="1" applyFill="1" applyBorder="1" applyAlignment="1">
      <alignment horizontal="justify" wrapText="1"/>
    </xf>
    <xf numFmtId="0" fontId="68" fillId="5" borderId="72" xfId="0" applyFont="1" applyFill="1" applyBorder="1" applyAlignment="1">
      <alignment horizontal="justify" wrapText="1"/>
    </xf>
    <xf numFmtId="0" fontId="68" fillId="5" borderId="39" xfId="0" applyFont="1" applyFill="1" applyBorder="1" applyAlignment="1">
      <alignment horizontal="justify" wrapText="1"/>
    </xf>
    <xf numFmtId="0" fontId="11" fillId="5" borderId="10" xfId="0" applyFont="1" applyFill="1" applyBorder="1" applyAlignment="1">
      <alignment vertical="top" wrapText="1"/>
    </xf>
    <xf numFmtId="0" fontId="0" fillId="7" borderId="0" xfId="0" applyFill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31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65" fillId="0" borderId="6" xfId="0" applyFont="1" applyFill="1" applyBorder="1" applyAlignment="1">
      <alignment horizontal="center" vertical="top" wrapText="1"/>
    </xf>
    <xf numFmtId="0" fontId="65" fillId="5" borderId="6" xfId="0" applyFont="1" applyFill="1" applyBorder="1" applyAlignment="1">
      <alignment horizontal="center" vertical="top" wrapText="1"/>
    </xf>
    <xf numFmtId="0" fontId="65" fillId="0" borderId="6" xfId="0" applyFont="1" applyBorder="1" applyAlignment="1">
      <alignment horizontal="center" vertical="top" wrapText="1"/>
    </xf>
    <xf numFmtId="0" fontId="3" fillId="5" borderId="5" xfId="0" applyFont="1" applyFill="1" applyBorder="1" applyAlignment="1">
      <alignment vertical="top" wrapText="1"/>
    </xf>
    <xf numFmtId="0" fontId="65" fillId="6" borderId="6" xfId="0" applyFont="1" applyFill="1" applyBorder="1" applyAlignment="1">
      <alignment horizontal="center" vertical="top" wrapText="1"/>
    </xf>
    <xf numFmtId="0" fontId="65" fillId="6" borderId="3" xfId="0" applyFont="1" applyFill="1" applyBorder="1" applyAlignment="1">
      <alignment horizontal="center" vertical="top" wrapText="1"/>
    </xf>
    <xf numFmtId="0" fontId="31" fillId="7" borderId="0" xfId="0" applyFont="1" applyFill="1" applyBorder="1" applyAlignment="1">
      <alignment horizontal="center" vertical="top" wrapText="1"/>
    </xf>
    <xf numFmtId="0" fontId="65" fillId="6" borderId="4" xfId="0" applyFont="1" applyFill="1" applyBorder="1" applyAlignment="1">
      <alignment horizontal="center" wrapText="1"/>
    </xf>
    <xf numFmtId="0" fontId="65" fillId="7" borderId="0" xfId="0" applyFont="1" applyFill="1" applyBorder="1" applyAlignment="1">
      <alignment horizontal="center" wrapText="1"/>
    </xf>
    <xf numFmtId="0" fontId="65" fillId="6" borderId="5" xfId="0" applyFont="1" applyFill="1" applyBorder="1" applyAlignment="1">
      <alignment horizontal="center" vertical="top" wrapText="1"/>
    </xf>
    <xf numFmtId="0" fontId="69" fillId="6" borderId="50" xfId="0" applyFont="1" applyFill="1" applyBorder="1" applyAlignment="1">
      <alignment horizontal="center" wrapText="1"/>
    </xf>
    <xf numFmtId="0" fontId="69" fillId="6" borderId="53" xfId="0" applyFont="1" applyFill="1" applyBorder="1" applyAlignment="1">
      <alignment horizontal="center" wrapText="1"/>
    </xf>
    <xf numFmtId="0" fontId="69" fillId="0" borderId="50" xfId="0" applyFont="1" applyBorder="1" applyAlignment="1">
      <alignment horizontal="center" wrapText="1"/>
    </xf>
    <xf numFmtId="0" fontId="69" fillId="0" borderId="51" xfId="0" applyFont="1" applyBorder="1" applyAlignment="1">
      <alignment horizontal="center" wrapText="1"/>
    </xf>
    <xf numFmtId="0" fontId="69" fillId="6" borderId="51" xfId="0" applyFont="1" applyFill="1" applyBorder="1" applyAlignment="1">
      <alignment horizontal="center" wrapText="1"/>
    </xf>
    <xf numFmtId="0" fontId="69" fillId="0" borderId="51" xfId="0" applyFont="1" applyFill="1" applyBorder="1" applyAlignment="1">
      <alignment horizontal="center" wrapText="1"/>
    </xf>
    <xf numFmtId="0" fontId="69" fillId="0" borderId="68" xfId="0" applyFont="1" applyBorder="1" applyAlignment="1">
      <alignment horizontal="center" wrapText="1"/>
    </xf>
    <xf numFmtId="0" fontId="69" fillId="6" borderId="73" xfId="0" applyFont="1" applyFill="1" applyBorder="1" applyAlignment="1">
      <alignment horizontal="center" wrapText="1"/>
    </xf>
    <xf numFmtId="0" fontId="69" fillId="0" borderId="73" xfId="0" applyFont="1" applyBorder="1" applyAlignment="1">
      <alignment horizontal="center" wrapText="1"/>
    </xf>
    <xf numFmtId="0" fontId="69" fillId="6" borderId="7" xfId="0" applyFont="1" applyFill="1" applyBorder="1" applyAlignment="1">
      <alignment horizontal="center" wrapText="1"/>
    </xf>
    <xf numFmtId="0" fontId="69" fillId="0" borderId="67" xfId="0" applyFont="1" applyBorder="1" applyAlignment="1">
      <alignment horizontal="center" wrapText="1"/>
    </xf>
    <xf numFmtId="0" fontId="69" fillId="6" borderId="67" xfId="0" applyFont="1" applyFill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69" fillId="0" borderId="7" xfId="0" applyFont="1" applyBorder="1" applyAlignment="1">
      <alignment horizontal="center" wrapText="1"/>
    </xf>
    <xf numFmtId="0" fontId="65" fillId="6" borderId="8" xfId="0" applyFont="1" applyFill="1" applyBorder="1" applyAlignment="1">
      <alignment horizontal="center" wrapText="1"/>
    </xf>
    <xf numFmtId="0" fontId="70" fillId="5" borderId="5" xfId="0" applyFont="1" applyFill="1" applyBorder="1" applyAlignment="1">
      <alignment vertical="top" wrapText="1"/>
    </xf>
    <xf numFmtId="0" fontId="31" fillId="7" borderId="0" xfId="0" applyFont="1" applyFill="1"/>
    <xf numFmtId="0" fontId="65" fillId="0" borderId="3" xfId="0" applyFont="1" applyBorder="1" applyAlignment="1">
      <alignment horizontal="center" vertical="top" wrapText="1"/>
    </xf>
    <xf numFmtId="0" fontId="65" fillId="5" borderId="70" xfId="0" applyFont="1" applyFill="1" applyBorder="1" applyAlignment="1">
      <alignment horizontal="center" vertical="top" wrapText="1"/>
    </xf>
    <xf numFmtId="0" fontId="65" fillId="6" borderId="14" xfId="0" applyFont="1" applyFill="1" applyBorder="1" applyAlignment="1">
      <alignment horizontal="center" vertical="top" wrapText="1"/>
    </xf>
    <xf numFmtId="0" fontId="70" fillId="0" borderId="6" xfId="0" applyFont="1" applyBorder="1" applyAlignment="1">
      <alignment horizontal="center" vertical="top" wrapText="1"/>
    </xf>
    <xf numFmtId="0" fontId="65" fillId="5" borderId="74" xfId="0" applyFont="1" applyFill="1" applyBorder="1" applyAlignment="1">
      <alignment horizontal="center" vertical="top" wrapText="1"/>
    </xf>
    <xf numFmtId="0" fontId="65" fillId="5" borderId="10" xfId="0" applyFont="1" applyFill="1" applyBorder="1" applyAlignment="1">
      <alignment horizontal="center" vertical="top" wrapText="1"/>
    </xf>
    <xf numFmtId="0" fontId="65" fillId="0" borderId="8" xfId="0" applyFont="1" applyBorder="1" applyAlignment="1">
      <alignment horizontal="center" wrapText="1"/>
    </xf>
    <xf numFmtId="0" fontId="58" fillId="6" borderId="6" xfId="0" applyFont="1" applyFill="1" applyBorder="1" applyAlignment="1">
      <alignment horizontal="center" vertical="top" wrapText="1"/>
    </xf>
    <xf numFmtId="0" fontId="69" fillId="6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5" borderId="74" xfId="0" applyFont="1" applyFill="1" applyBorder="1" applyAlignment="1">
      <alignment horizontal="center" vertical="top" wrapText="1"/>
    </xf>
    <xf numFmtId="0" fontId="58" fillId="5" borderId="74" xfId="0" applyFont="1" applyFill="1" applyBorder="1" applyAlignment="1">
      <alignment horizontal="center" vertical="top" wrapText="1"/>
    </xf>
    <xf numFmtId="0" fontId="69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5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65" fillId="0" borderId="14" xfId="0" applyFont="1" applyFill="1" applyBorder="1" applyAlignment="1">
      <alignment horizontal="center" wrapText="1"/>
    </xf>
    <xf numFmtId="0" fontId="65" fillId="0" borderId="23" xfId="0" applyFont="1" applyBorder="1" applyAlignment="1">
      <alignment horizontal="center" vertical="top" wrapText="1"/>
    </xf>
    <xf numFmtId="0" fontId="65" fillId="0" borderId="75" xfId="0" applyFont="1" applyBorder="1" applyAlignment="1">
      <alignment horizontal="center" vertical="top" wrapText="1"/>
    </xf>
    <xf numFmtId="0" fontId="65" fillId="6" borderId="75" xfId="0" applyNumberFormat="1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wrapText="1"/>
    </xf>
    <xf numFmtId="0" fontId="11" fillId="5" borderId="10" xfId="0" applyFont="1" applyFill="1" applyBorder="1" applyAlignment="1">
      <alignment wrapText="1"/>
    </xf>
    <xf numFmtId="0" fontId="65" fillId="5" borderId="10" xfId="0" applyFont="1" applyFill="1" applyBorder="1" applyAlignment="1">
      <alignment horizontal="center" wrapText="1"/>
    </xf>
    <xf numFmtId="0" fontId="65" fillId="0" borderId="6" xfId="0" applyFont="1" applyBorder="1" applyAlignment="1">
      <alignment horizontal="center" wrapText="1"/>
    </xf>
    <xf numFmtId="0" fontId="65" fillId="5" borderId="74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5" borderId="70" xfId="0" applyFont="1" applyFill="1" applyBorder="1" applyAlignment="1">
      <alignment horizontal="center" vertical="top" wrapText="1"/>
    </xf>
    <xf numFmtId="0" fontId="3" fillId="5" borderId="7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5" borderId="39" xfId="0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65" fillId="0" borderId="8" xfId="0" applyFont="1" applyBorder="1" applyAlignment="1">
      <alignment horizontal="center" vertical="center" wrapText="1"/>
    </xf>
    <xf numFmtId="0" fontId="65" fillId="6" borderId="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right" wrapText="1"/>
    </xf>
    <xf numFmtId="0" fontId="3" fillId="0" borderId="23" xfId="0" applyFont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wrapText="1"/>
    </xf>
    <xf numFmtId="0" fontId="3" fillId="5" borderId="6" xfId="0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top" wrapText="1"/>
    </xf>
    <xf numFmtId="0" fontId="69" fillId="6" borderId="8" xfId="0" applyFont="1" applyFill="1" applyBorder="1" applyAlignment="1">
      <alignment horizontal="center" vertical="top" wrapText="1"/>
    </xf>
    <xf numFmtId="0" fontId="69" fillId="0" borderId="8" xfId="0" applyFont="1" applyBorder="1" applyAlignment="1">
      <alignment horizontal="center" vertical="top" wrapText="1"/>
    </xf>
    <xf numFmtId="0" fontId="59" fillId="6" borderId="6" xfId="0" applyFont="1" applyFill="1" applyBorder="1" applyAlignment="1">
      <alignment horizontal="right" vertical="top" wrapText="1"/>
    </xf>
    <xf numFmtId="0" fontId="59" fillId="6" borderId="5" xfId="0" applyFont="1" applyFill="1" applyBorder="1" applyAlignment="1">
      <alignment horizontal="right" vertical="top" wrapText="1"/>
    </xf>
    <xf numFmtId="0" fontId="13" fillId="0" borderId="8" xfId="0" applyFont="1" applyBorder="1"/>
    <xf numFmtId="0" fontId="27" fillId="0" borderId="8" xfId="0" applyFont="1" applyFill="1" applyBorder="1"/>
    <xf numFmtId="0" fontId="13" fillId="6" borderId="8" xfId="0" applyFont="1" applyFill="1" applyBorder="1"/>
    <xf numFmtId="0" fontId="13" fillId="0" borderId="8" xfId="0" applyFont="1" applyFill="1" applyBorder="1"/>
    <xf numFmtId="0" fontId="13" fillId="8" borderId="8" xfId="0" applyFont="1" applyFill="1" applyBorder="1"/>
    <xf numFmtId="0" fontId="27" fillId="8" borderId="8" xfId="0" applyFont="1" applyFill="1" applyBorder="1"/>
    <xf numFmtId="0" fontId="13" fillId="0" borderId="76" xfId="0" applyFont="1" applyBorder="1"/>
    <xf numFmtId="0" fontId="13" fillId="0" borderId="76" xfId="0" applyFont="1" applyFill="1" applyBorder="1"/>
    <xf numFmtId="0" fontId="65" fillId="0" borderId="77" xfId="0" applyFont="1" applyFill="1" applyBorder="1" applyAlignment="1">
      <alignment horizontal="center" vertical="top" wrapText="1"/>
    </xf>
    <xf numFmtId="0" fontId="65" fillId="0" borderId="78" xfId="0" applyFont="1" applyFill="1" applyBorder="1" applyAlignment="1">
      <alignment horizontal="center" vertical="top" wrapText="1"/>
    </xf>
    <xf numFmtId="0" fontId="65" fillId="0" borderId="79" xfId="0" applyFont="1" applyFill="1" applyBorder="1" applyAlignment="1">
      <alignment horizontal="center" vertical="top" wrapText="1"/>
    </xf>
    <xf numFmtId="0" fontId="65" fillId="0" borderId="46" xfId="0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top" wrapText="1"/>
    </xf>
    <xf numFmtId="0" fontId="57" fillId="5" borderId="38" xfId="0" applyFont="1" applyFill="1" applyBorder="1" applyAlignment="1">
      <alignment vertical="top" wrapText="1"/>
    </xf>
    <xf numFmtId="0" fontId="65" fillId="0" borderId="76" xfId="0" applyFont="1" applyFill="1" applyBorder="1" applyAlignment="1">
      <alignment horizontal="center"/>
    </xf>
    <xf numFmtId="0" fontId="65" fillId="0" borderId="80" xfId="0" applyFont="1" applyFill="1" applyBorder="1" applyAlignment="1">
      <alignment horizontal="center"/>
    </xf>
    <xf numFmtId="0" fontId="65" fillId="0" borderId="81" xfId="0" applyFont="1" applyFill="1" applyBorder="1" applyAlignment="1">
      <alignment horizontal="center"/>
    </xf>
    <xf numFmtId="0" fontId="65" fillId="0" borderId="54" xfId="0" applyFont="1" applyFill="1" applyBorder="1" applyAlignment="1">
      <alignment horizontal="center"/>
    </xf>
    <xf numFmtId="0" fontId="65" fillId="0" borderId="55" xfId="0" applyFont="1" applyFill="1" applyBorder="1" applyAlignment="1">
      <alignment horizontal="center"/>
    </xf>
    <xf numFmtId="0" fontId="66" fillId="0" borderId="79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65" fillId="0" borderId="53" xfId="0" applyFont="1" applyFill="1" applyBorder="1" applyAlignment="1">
      <alignment horizontal="center"/>
    </xf>
    <xf numFmtId="0" fontId="65" fillId="0" borderId="83" xfId="0" applyFont="1" applyFill="1" applyBorder="1" applyAlignment="1">
      <alignment horizontal="center"/>
    </xf>
    <xf numFmtId="0" fontId="66" fillId="0" borderId="43" xfId="0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65" fillId="0" borderId="8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5" fillId="0" borderId="84" xfId="0" applyFont="1" applyFill="1" applyBorder="1" applyAlignment="1">
      <alignment horizontal="center"/>
    </xf>
    <xf numFmtId="0" fontId="65" fillId="7" borderId="4" xfId="0" applyFont="1" applyFill="1" applyBorder="1" applyAlignment="1">
      <alignment horizontal="center"/>
    </xf>
    <xf numFmtId="0" fontId="73" fillId="6" borderId="6" xfId="0" applyFont="1" applyFill="1" applyBorder="1" applyAlignment="1">
      <alignment wrapText="1"/>
    </xf>
    <xf numFmtId="0" fontId="65" fillId="6" borderId="6" xfId="0" applyFont="1" applyFill="1" applyBorder="1" applyAlignment="1">
      <alignment wrapText="1"/>
    </xf>
    <xf numFmtId="0" fontId="73" fillId="0" borderId="6" xfId="0" applyFont="1" applyBorder="1" applyAlignment="1">
      <alignment wrapText="1"/>
    </xf>
    <xf numFmtId="0" fontId="73" fillId="5" borderId="6" xfId="0" applyFont="1" applyFill="1" applyBorder="1" applyAlignment="1">
      <alignment wrapText="1"/>
    </xf>
    <xf numFmtId="0" fontId="73" fillId="0" borderId="6" xfId="0" applyFont="1" applyFill="1" applyBorder="1" applyAlignment="1">
      <alignment wrapText="1"/>
    </xf>
    <xf numFmtId="0" fontId="65" fillId="0" borderId="6" xfId="0" applyFont="1" applyBorder="1"/>
    <xf numFmtId="0" fontId="65" fillId="5" borderId="6" xfId="0" applyFont="1" applyFill="1" applyBorder="1" applyAlignment="1">
      <alignment wrapText="1"/>
    </xf>
    <xf numFmtId="0" fontId="73" fillId="7" borderId="0" xfId="0" applyFont="1" applyFill="1" applyBorder="1" applyAlignment="1">
      <alignment wrapText="1"/>
    </xf>
    <xf numFmtId="0" fontId="31" fillId="6" borderId="5" xfId="0" applyFont="1" applyFill="1" applyBorder="1" applyAlignment="1">
      <alignment horizontal="center" wrapText="1"/>
    </xf>
    <xf numFmtId="0" fontId="28" fillId="6" borderId="5" xfId="0" applyFont="1" applyFill="1" applyBorder="1" applyAlignment="1">
      <alignment horizontal="center" wrapText="1"/>
    </xf>
    <xf numFmtId="0" fontId="66" fillId="6" borderId="79" xfId="0" applyFont="1" applyFill="1" applyBorder="1" applyAlignment="1">
      <alignment horizontal="center"/>
    </xf>
    <xf numFmtId="0" fontId="65" fillId="6" borderId="46" xfId="0" applyFont="1" applyFill="1" applyBorder="1" applyAlignment="1">
      <alignment horizontal="center"/>
    </xf>
    <xf numFmtId="0" fontId="65" fillId="6" borderId="57" xfId="0" applyFont="1" applyFill="1" applyBorder="1" applyAlignment="1">
      <alignment horizontal="center"/>
    </xf>
    <xf numFmtId="0" fontId="65" fillId="6" borderId="85" xfId="0" applyFont="1" applyFill="1" applyBorder="1" applyAlignment="1">
      <alignment horizontal="center"/>
    </xf>
    <xf numFmtId="0" fontId="65" fillId="6" borderId="22" xfId="0" applyFont="1" applyFill="1" applyBorder="1" applyAlignment="1">
      <alignment horizontal="center"/>
    </xf>
    <xf numFmtId="0" fontId="65" fillId="6" borderId="47" xfId="0" applyFont="1" applyFill="1" applyBorder="1" applyAlignment="1">
      <alignment horizontal="center" vertical="top" wrapText="1"/>
    </xf>
    <xf numFmtId="0" fontId="65" fillId="6" borderId="78" xfId="0" applyFont="1" applyFill="1" applyBorder="1" applyAlignment="1">
      <alignment horizontal="center" vertical="top" wrapText="1"/>
    </xf>
    <xf numFmtId="0" fontId="65" fillId="6" borderId="79" xfId="0" applyFont="1" applyFill="1" applyBorder="1" applyAlignment="1">
      <alignment horizontal="center" vertical="top" wrapText="1"/>
    </xf>
    <xf numFmtId="0" fontId="31" fillId="6" borderId="5" xfId="0" applyFont="1" applyFill="1" applyBorder="1"/>
    <xf numFmtId="0" fontId="28" fillId="6" borderId="5" xfId="0" applyFont="1" applyFill="1" applyBorder="1" applyAlignment="1">
      <alignment vertical="top" wrapText="1"/>
    </xf>
    <xf numFmtId="0" fontId="31" fillId="5" borderId="79" xfId="0" applyFont="1" applyFill="1" applyBorder="1" applyAlignment="1">
      <alignment horizontal="center" vertical="center"/>
    </xf>
    <xf numFmtId="3" fontId="0" fillId="0" borderId="0" xfId="0" applyNumberFormat="1"/>
    <xf numFmtId="0" fontId="65" fillId="5" borderId="86" xfId="0" applyFont="1" applyFill="1" applyBorder="1" applyAlignment="1">
      <alignment horizontal="center"/>
    </xf>
    <xf numFmtId="0" fontId="65" fillId="5" borderId="58" xfId="0" applyFont="1" applyFill="1" applyBorder="1" applyAlignment="1">
      <alignment horizontal="center"/>
    </xf>
    <xf numFmtId="0" fontId="65" fillId="5" borderId="87" xfId="0" applyFont="1" applyFill="1" applyBorder="1" applyAlignment="1">
      <alignment horizontal="center"/>
    </xf>
    <xf numFmtId="0" fontId="66" fillId="5" borderId="79" xfId="0" applyFont="1" applyFill="1" applyBorder="1" applyAlignment="1">
      <alignment horizontal="center"/>
    </xf>
    <xf numFmtId="0" fontId="31" fillId="5" borderId="74" xfId="0" applyFont="1" applyFill="1" applyBorder="1"/>
    <xf numFmtId="0" fontId="31" fillId="0" borderId="14" xfId="0" applyFont="1" applyBorder="1" applyAlignment="1">
      <alignment horizontal="center" wrapText="1"/>
    </xf>
    <xf numFmtId="0" fontId="74" fillId="5" borderId="11" xfId="0" applyFont="1" applyFill="1" applyBorder="1" applyAlignment="1">
      <alignment vertical="top" wrapText="1"/>
    </xf>
    <xf numFmtId="0" fontId="75" fillId="5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right" vertical="center"/>
    </xf>
    <xf numFmtId="0" fontId="76" fillId="0" borderId="0" xfId="0" applyFont="1"/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 vertical="center"/>
    </xf>
    <xf numFmtId="0" fontId="78" fillId="0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0" fontId="3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165" fontId="19" fillId="10" borderId="0" xfId="0" applyNumberFormat="1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right" vertical="center"/>
    </xf>
    <xf numFmtId="0" fontId="55" fillId="10" borderId="0" xfId="0" applyFont="1" applyFill="1" applyAlignment="1">
      <alignment horizontal="right" vertical="center"/>
    </xf>
    <xf numFmtId="0" fontId="81" fillId="0" borderId="61" xfId="0" applyFont="1" applyFill="1" applyBorder="1" applyAlignment="1">
      <alignment horizontal="center" wrapText="1"/>
    </xf>
    <xf numFmtId="0" fontId="9" fillId="11" borderId="0" xfId="0" applyFont="1" applyFill="1"/>
    <xf numFmtId="0" fontId="19" fillId="11" borderId="0" xfId="0" applyFont="1" applyFill="1" applyBorder="1" applyAlignment="1">
      <alignment horizontal="right" vertical="center"/>
    </xf>
    <xf numFmtId="165" fontId="19" fillId="11" borderId="0" xfId="0" applyNumberFormat="1" applyFont="1" applyFill="1" applyBorder="1" applyAlignment="1">
      <alignment horizontal="left" vertical="center"/>
    </xf>
    <xf numFmtId="167" fontId="19" fillId="11" borderId="0" xfId="0" applyNumberFormat="1" applyFont="1" applyFill="1" applyBorder="1" applyAlignment="1">
      <alignment horizontal="left" vertical="center"/>
    </xf>
    <xf numFmtId="0" fontId="13" fillId="11" borderId="0" xfId="0" applyFont="1" applyFill="1"/>
    <xf numFmtId="0" fontId="13" fillId="11" borderId="0" xfId="0" applyFont="1" applyFill="1" applyAlignment="1">
      <alignment horizontal="right" vertical="center"/>
    </xf>
    <xf numFmtId="0" fontId="19" fillId="11" borderId="0" xfId="0" applyFont="1" applyFill="1" applyAlignment="1">
      <alignment horizontal="right" vertical="center"/>
    </xf>
    <xf numFmtId="0" fontId="19" fillId="11" borderId="0" xfId="0" applyFont="1" applyFill="1" applyBorder="1" applyAlignment="1">
      <alignment horizontal="left" vertical="center"/>
    </xf>
    <xf numFmtId="0" fontId="0" fillId="11" borderId="0" xfId="0" applyFill="1"/>
    <xf numFmtId="0" fontId="79" fillId="11" borderId="0" xfId="0" applyFont="1" applyFill="1" applyBorder="1" applyAlignment="1">
      <alignment horizontal="right" vertical="center"/>
    </xf>
    <xf numFmtId="0" fontId="8" fillId="11" borderId="0" xfId="0" applyFont="1" applyFill="1"/>
    <xf numFmtId="0" fontId="13" fillId="11" borderId="0" xfId="0" applyFont="1" applyFill="1" applyAlignment="1">
      <alignment horizontal="justify"/>
    </xf>
    <xf numFmtId="0" fontId="14" fillId="11" borderId="0" xfId="0" applyFont="1" applyFill="1"/>
    <xf numFmtId="0" fontId="23" fillId="0" borderId="0" xfId="0" applyFont="1" applyFill="1"/>
    <xf numFmtId="0" fontId="82" fillId="0" borderId="0" xfId="0" applyFont="1" applyFill="1"/>
    <xf numFmtId="167" fontId="83" fillId="0" borderId="0" xfId="0" applyNumberFormat="1" applyFont="1" applyFill="1" applyBorder="1" applyAlignment="1">
      <alignment horizontal="left"/>
    </xf>
    <xf numFmtId="0" fontId="19" fillId="0" borderId="0" xfId="0" applyFont="1"/>
    <xf numFmtId="0" fontId="19" fillId="11" borderId="0" xfId="0" applyFont="1" applyFill="1"/>
    <xf numFmtId="0" fontId="19" fillId="0" borderId="0" xfId="0" applyFont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19" fillId="0" borderId="0" xfId="0" applyFont="1" applyFill="1"/>
    <xf numFmtId="0" fontId="19" fillId="0" borderId="0" xfId="0" applyFont="1" applyBorder="1"/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53" fillId="0" borderId="0" xfId="0" applyFont="1" applyFill="1" applyBorder="1" applyAlignment="1">
      <alignment wrapText="1"/>
    </xf>
    <xf numFmtId="0" fontId="84" fillId="0" borderId="0" xfId="0" applyFont="1" applyFill="1" applyBorder="1"/>
    <xf numFmtId="0" fontId="85" fillId="0" borderId="0" xfId="0" applyFont="1" applyFill="1" applyBorder="1" applyAlignment="1"/>
    <xf numFmtId="0" fontId="85" fillId="0" borderId="0" xfId="0" applyFont="1" applyFill="1" applyBorder="1" applyAlignment="1">
      <alignment horizontal="left" vertical="top"/>
    </xf>
    <xf numFmtId="0" fontId="80" fillId="0" borderId="0" xfId="0" applyFont="1" applyFill="1" applyBorder="1" applyAlignment="1">
      <alignment wrapText="1"/>
    </xf>
    <xf numFmtId="0" fontId="53" fillId="0" borderId="0" xfId="0" applyFont="1"/>
    <xf numFmtId="0" fontId="53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53" fillId="0" borderId="0" xfId="0" applyFont="1" applyFill="1" applyAlignment="1">
      <alignment horizontal="right" vertical="center"/>
    </xf>
    <xf numFmtId="166" fontId="83" fillId="0" borderId="0" xfId="0" applyNumberFormat="1" applyFont="1" applyFill="1" applyBorder="1" applyAlignment="1">
      <alignment horizontal="left" vertical="top" wrapText="1"/>
    </xf>
    <xf numFmtId="164" fontId="86" fillId="0" borderId="0" xfId="0" applyNumberFormat="1" applyFont="1" applyFill="1" applyBorder="1" applyAlignment="1">
      <alignment horizontal="center" vertical="top" wrapText="1"/>
    </xf>
    <xf numFmtId="164" fontId="86" fillId="0" borderId="0" xfId="0" applyNumberFormat="1" applyFont="1" applyFill="1" applyBorder="1" applyAlignment="1">
      <alignment horizontal="left" vertical="top" wrapText="1"/>
    </xf>
    <xf numFmtId="0" fontId="82" fillId="0" borderId="0" xfId="0" applyFont="1" applyFill="1" applyAlignment="1">
      <alignment horizontal="right" vertical="center"/>
    </xf>
    <xf numFmtId="167" fontId="87" fillId="0" borderId="0" xfId="0" applyNumberFormat="1" applyFont="1" applyFill="1" applyBorder="1" applyAlignment="1">
      <alignment horizontal="left"/>
    </xf>
    <xf numFmtId="0" fontId="23" fillId="0" borderId="0" xfId="0" applyFont="1"/>
    <xf numFmtId="167" fontId="88" fillId="0" borderId="0" xfId="0" applyNumberFormat="1" applyFont="1" applyFill="1" applyBorder="1" applyAlignment="1">
      <alignment horizontal="left" vertical="top" wrapText="1"/>
    </xf>
    <xf numFmtId="0" fontId="21" fillId="0" borderId="0" xfId="0" applyFont="1"/>
    <xf numFmtId="49" fontId="89" fillId="0" borderId="0" xfId="0" quotePrefix="1" applyNumberFormat="1" applyFont="1" applyFill="1" applyBorder="1" applyAlignment="1">
      <alignment vertical="top" wrapText="1"/>
    </xf>
    <xf numFmtId="0" fontId="21" fillId="0" borderId="0" xfId="0" applyFont="1" applyFill="1"/>
    <xf numFmtId="167" fontId="83" fillId="0" borderId="0" xfId="0" applyNumberFormat="1" applyFont="1" applyFill="1" applyBorder="1" applyAlignment="1">
      <alignment horizontal="left" wrapText="1"/>
    </xf>
    <xf numFmtId="0" fontId="23" fillId="11" borderId="0" xfId="0" applyFont="1" applyFill="1" applyAlignment="1">
      <alignment horizontal="right" vertical="center"/>
    </xf>
    <xf numFmtId="167" fontId="83" fillId="11" borderId="0" xfId="0" applyNumberFormat="1" applyFont="1" applyFill="1" applyBorder="1" applyAlignment="1">
      <alignment horizontal="left" wrapText="1"/>
    </xf>
    <xf numFmtId="0" fontId="19" fillId="2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53" fillId="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wrapText="1"/>
    </xf>
    <xf numFmtId="0" fontId="26" fillId="11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horizontal="center"/>
    </xf>
    <xf numFmtId="167" fontId="85" fillId="0" borderId="0" xfId="0" applyNumberFormat="1" applyFont="1" applyFill="1" applyBorder="1" applyAlignment="1">
      <alignment horizontal="left"/>
    </xf>
    <xf numFmtId="167" fontId="83" fillId="0" borderId="0" xfId="0" applyNumberFormat="1" applyFont="1" applyFill="1" applyBorder="1" applyAlignment="1"/>
    <xf numFmtId="0" fontId="19" fillId="10" borderId="0" xfId="0" applyFont="1" applyFill="1"/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left" vertical="top" wrapText="1" indent="1"/>
    </xf>
    <xf numFmtId="49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28" fillId="4" borderId="3" xfId="0" applyFont="1" applyFill="1" applyBorder="1" applyAlignment="1">
      <alignment vertical="top" wrapText="1"/>
    </xf>
    <xf numFmtId="0" fontId="28" fillId="4" borderId="11" xfId="0" applyFont="1" applyFill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9" fillId="4" borderId="35" xfId="0" applyFont="1" applyFill="1" applyBorder="1" applyAlignment="1">
      <alignment horizontal="center" vertical="center" wrapText="1"/>
    </xf>
    <xf numFmtId="0" fontId="39" fillId="4" borderId="34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vertical="top" wrapText="1"/>
    </xf>
    <xf numFmtId="0" fontId="60" fillId="0" borderId="35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  <xf numFmtId="0" fontId="31" fillId="0" borderId="33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5" borderId="35" xfId="0" applyFont="1" applyFill="1" applyBorder="1" applyAlignment="1">
      <alignment vertical="top" wrapText="1"/>
    </xf>
    <xf numFmtId="0" fontId="31" fillId="5" borderId="34" xfId="0" applyFont="1" applyFill="1" applyBorder="1" applyAlignment="1">
      <alignment vertical="top" wrapText="1"/>
    </xf>
    <xf numFmtId="0" fontId="31" fillId="5" borderId="14" xfId="0" applyFont="1" applyFill="1" applyBorder="1" applyAlignment="1">
      <alignment vertical="top" wrapText="1"/>
    </xf>
    <xf numFmtId="0" fontId="10" fillId="5" borderId="35" xfId="0" applyFont="1" applyFill="1" applyBorder="1" applyAlignment="1">
      <alignment vertical="top" wrapText="1"/>
    </xf>
    <xf numFmtId="0" fontId="10" fillId="5" borderId="34" xfId="0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vertical="top" wrapText="1"/>
    </xf>
    <xf numFmtId="0" fontId="31" fillId="4" borderId="11" xfId="0" applyFont="1" applyFill="1" applyBorder="1" applyAlignment="1">
      <alignment vertical="top" wrapText="1"/>
    </xf>
    <xf numFmtId="0" fontId="39" fillId="4" borderId="3" xfId="0" applyFont="1" applyFill="1" applyBorder="1" applyAlignment="1">
      <alignment horizontal="center" textRotation="90" wrapText="1"/>
    </xf>
    <xf numFmtId="0" fontId="39" fillId="4" borderId="11" xfId="0" applyFont="1" applyFill="1" applyBorder="1" applyAlignment="1">
      <alignment horizontal="center" textRotation="90" wrapText="1"/>
    </xf>
    <xf numFmtId="0" fontId="39" fillId="4" borderId="3" xfId="0" applyFont="1" applyFill="1" applyBorder="1" applyAlignment="1">
      <alignment wrapText="1"/>
    </xf>
    <xf numFmtId="0" fontId="39" fillId="4" borderId="11" xfId="0" applyFont="1" applyFill="1" applyBorder="1" applyAlignment="1">
      <alignment wrapText="1"/>
    </xf>
    <xf numFmtId="0" fontId="58" fillId="5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3" fillId="4" borderId="3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1" fillId="5" borderId="35" xfId="0" applyFont="1" applyFill="1" applyBorder="1" applyAlignment="1">
      <alignment horizontal="center" vertical="top" wrapText="1"/>
    </xf>
    <xf numFmtId="0" fontId="31" fillId="5" borderId="34" xfId="0" applyFont="1" applyFill="1" applyBorder="1" applyAlignment="1">
      <alignment horizontal="center" vertical="top" wrapText="1"/>
    </xf>
    <xf numFmtId="0" fontId="31" fillId="5" borderId="14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31" fillId="8" borderId="35" xfId="0" applyFont="1" applyFill="1" applyBorder="1" applyAlignment="1">
      <alignment wrapText="1"/>
    </xf>
    <xf numFmtId="0" fontId="31" fillId="8" borderId="14" xfId="0" applyFont="1" applyFill="1" applyBorder="1" applyAlignment="1">
      <alignment wrapText="1"/>
    </xf>
    <xf numFmtId="0" fontId="39" fillId="4" borderId="35" xfId="0" applyFont="1" applyFill="1" applyBorder="1" applyAlignment="1">
      <alignment horizontal="center" textRotation="90" wrapText="1"/>
    </xf>
    <xf numFmtId="0" fontId="39" fillId="4" borderId="88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wrapText="1"/>
    </xf>
    <xf numFmtId="0" fontId="39" fillId="4" borderId="89" xfId="0" applyFont="1" applyFill="1" applyBorder="1" applyAlignment="1">
      <alignment horizontal="center" textRotation="90" wrapText="1"/>
    </xf>
    <xf numFmtId="0" fontId="39" fillId="4" borderId="34" xfId="0" applyFont="1" applyFill="1" applyBorder="1" applyAlignment="1">
      <alignment horizontal="center" textRotation="90" wrapText="1"/>
    </xf>
    <xf numFmtId="0" fontId="39" fillId="4" borderId="9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409575</xdr:colOff>
      <xdr:row>108</xdr:row>
      <xdr:rowOff>114300</xdr:rowOff>
    </xdr:from>
    <xdr:to>
      <xdr:col>19</xdr:col>
      <xdr:colOff>561975</xdr:colOff>
      <xdr:row>108</xdr:row>
      <xdr:rowOff>114300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 flipH="1">
          <a:off x="17459325" y="2363152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9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10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8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1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2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4" Type="http://schemas.openxmlformats.org/officeDocument/2006/relationships/printerSettings" Target="../printerSettings/printerSettings12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36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40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3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4" Type="http://schemas.openxmlformats.org/officeDocument/2006/relationships/printerSettings" Target="../printerSettings/printerSettings14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8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Relationship Id="rId4" Type="http://schemas.openxmlformats.org/officeDocument/2006/relationships/printerSettings" Target="../printerSettings/printerSettings152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54.bin"/><Relationship Id="rId1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5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4" Type="http://schemas.openxmlformats.org/officeDocument/2006/relationships/printerSettings" Target="../printerSettings/printerSettings16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3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64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65.bin"/><Relationship Id="rId4" Type="http://schemas.openxmlformats.org/officeDocument/2006/relationships/printerSettings" Target="../printerSettings/printerSettings168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7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74.bin"/><Relationship Id="rId1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76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9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4" Type="http://schemas.openxmlformats.org/officeDocument/2006/relationships/printerSettings" Target="../printerSettings/printerSettings180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4" Type="http://schemas.openxmlformats.org/officeDocument/2006/relationships/printerSettings" Target="../printerSettings/printerSettings184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85.bin"/><Relationship Id="rId4" Type="http://schemas.openxmlformats.org/officeDocument/2006/relationships/printerSettings" Target="../printerSettings/printerSettings188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1.bin"/><Relationship Id="rId2" Type="http://schemas.openxmlformats.org/officeDocument/2006/relationships/printerSettings" Target="../printerSettings/printerSettings190.bin"/><Relationship Id="rId1" Type="http://schemas.openxmlformats.org/officeDocument/2006/relationships/printerSettings" Target="../printerSettings/printerSettings189.bin"/><Relationship Id="rId4" Type="http://schemas.openxmlformats.org/officeDocument/2006/relationships/printerSettings" Target="../printerSettings/printerSettings192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5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4" Type="http://schemas.openxmlformats.org/officeDocument/2006/relationships/printerSettings" Target="../printerSettings/printerSettings19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9.bin"/><Relationship Id="rId2" Type="http://schemas.openxmlformats.org/officeDocument/2006/relationships/printerSettings" Target="../printerSettings/printerSettings198.bin"/><Relationship Id="rId1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20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202.bin"/><Relationship Id="rId1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204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208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1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4" Type="http://schemas.openxmlformats.org/officeDocument/2006/relationships/printerSettings" Target="../printerSettings/printerSettings21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5.bin"/><Relationship Id="rId2" Type="http://schemas.openxmlformats.org/officeDocument/2006/relationships/printerSettings" Target="../printerSettings/printerSettings214.bin"/><Relationship Id="rId1" Type="http://schemas.openxmlformats.org/officeDocument/2006/relationships/printerSettings" Target="../printerSettings/printerSettings213.bin"/><Relationship Id="rId4" Type="http://schemas.openxmlformats.org/officeDocument/2006/relationships/printerSettings" Target="../printerSettings/printerSettings216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9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4" Type="http://schemas.openxmlformats.org/officeDocument/2006/relationships/printerSettings" Target="../printerSettings/printerSettings220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3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4" Type="http://schemas.openxmlformats.org/officeDocument/2006/relationships/printerSettings" Target="../printerSettings/printerSettings224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6.bin"/><Relationship Id="rId1" Type="http://schemas.openxmlformats.org/officeDocument/2006/relationships/printerSettings" Target="../printerSettings/printerSettings225.bin"/><Relationship Id="rId4" Type="http://schemas.openxmlformats.org/officeDocument/2006/relationships/printerSettings" Target="../printerSettings/printerSettings228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1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4" Type="http://schemas.openxmlformats.org/officeDocument/2006/relationships/printerSettings" Target="../printerSettings/printerSettings232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5.bin"/><Relationship Id="rId2" Type="http://schemas.openxmlformats.org/officeDocument/2006/relationships/printerSettings" Target="../printerSettings/printerSettings234.bin"/><Relationship Id="rId1" Type="http://schemas.openxmlformats.org/officeDocument/2006/relationships/printerSettings" Target="../printerSettings/printerSettings233.bin"/><Relationship Id="rId4" Type="http://schemas.openxmlformats.org/officeDocument/2006/relationships/printerSettings" Target="../printerSettings/printerSettings23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9.bin"/><Relationship Id="rId2" Type="http://schemas.openxmlformats.org/officeDocument/2006/relationships/printerSettings" Target="../printerSettings/printerSettings238.bin"/><Relationship Id="rId1" Type="http://schemas.openxmlformats.org/officeDocument/2006/relationships/printerSettings" Target="../printerSettings/printerSettings237.bin"/><Relationship Id="rId4" Type="http://schemas.openxmlformats.org/officeDocument/2006/relationships/printerSettings" Target="../printerSettings/printerSettings24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3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4" Type="http://schemas.openxmlformats.org/officeDocument/2006/relationships/printerSettings" Target="../printerSettings/printerSettings244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7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4" Type="http://schemas.openxmlformats.org/officeDocument/2006/relationships/printerSettings" Target="../printerSettings/printerSettings248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1.bin"/><Relationship Id="rId2" Type="http://schemas.openxmlformats.org/officeDocument/2006/relationships/printerSettings" Target="../printerSettings/printerSettings250.bin"/><Relationship Id="rId1" Type="http://schemas.openxmlformats.org/officeDocument/2006/relationships/printerSettings" Target="../printerSettings/printerSettings249.bin"/><Relationship Id="rId4" Type="http://schemas.openxmlformats.org/officeDocument/2006/relationships/printerSettings" Target="../printerSettings/printerSettings25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5.bin"/><Relationship Id="rId2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53.bin"/><Relationship Id="rId4" Type="http://schemas.openxmlformats.org/officeDocument/2006/relationships/printerSettings" Target="../printerSettings/printerSettings256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9.bin"/><Relationship Id="rId2" Type="http://schemas.openxmlformats.org/officeDocument/2006/relationships/printerSettings" Target="../printerSettings/printerSettings258.bin"/><Relationship Id="rId1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60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3.bin"/><Relationship Id="rId2" Type="http://schemas.openxmlformats.org/officeDocument/2006/relationships/printerSettings" Target="../printerSettings/printerSettings262.bin"/><Relationship Id="rId1" Type="http://schemas.openxmlformats.org/officeDocument/2006/relationships/printerSettings" Target="../printerSettings/printerSettings261.bin"/><Relationship Id="rId4" Type="http://schemas.openxmlformats.org/officeDocument/2006/relationships/printerSettings" Target="../printerSettings/printerSettings264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7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68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1.bin"/><Relationship Id="rId2" Type="http://schemas.openxmlformats.org/officeDocument/2006/relationships/printerSettings" Target="../printerSettings/printerSettings270.bin"/><Relationship Id="rId1" Type="http://schemas.openxmlformats.org/officeDocument/2006/relationships/printerSettings" Target="../printerSettings/printerSettings269.bin"/><Relationship Id="rId4" Type="http://schemas.openxmlformats.org/officeDocument/2006/relationships/printerSettings" Target="../printerSettings/printerSettings272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5.bin"/><Relationship Id="rId2" Type="http://schemas.openxmlformats.org/officeDocument/2006/relationships/printerSettings" Target="../printerSettings/printerSettings274.bin"/><Relationship Id="rId1" Type="http://schemas.openxmlformats.org/officeDocument/2006/relationships/printerSettings" Target="../printerSettings/printerSettings273.bin"/><Relationship Id="rId4" Type="http://schemas.openxmlformats.org/officeDocument/2006/relationships/printerSettings" Target="../printerSettings/printerSettings27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9.bin"/><Relationship Id="rId2" Type="http://schemas.openxmlformats.org/officeDocument/2006/relationships/printerSettings" Target="../printerSettings/printerSettings278.bin"/><Relationship Id="rId1" Type="http://schemas.openxmlformats.org/officeDocument/2006/relationships/printerSettings" Target="../printerSettings/printerSettings277.bin"/><Relationship Id="rId4" Type="http://schemas.openxmlformats.org/officeDocument/2006/relationships/printerSettings" Target="../printerSettings/printerSettings28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3.bin"/><Relationship Id="rId2" Type="http://schemas.openxmlformats.org/officeDocument/2006/relationships/printerSettings" Target="../printerSettings/printerSettings282.bin"/><Relationship Id="rId1" Type="http://schemas.openxmlformats.org/officeDocument/2006/relationships/printerSettings" Target="../printerSettings/printerSettings281.bin"/><Relationship Id="rId4" Type="http://schemas.openxmlformats.org/officeDocument/2006/relationships/printerSettings" Target="../printerSettings/printerSettings284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7.bin"/><Relationship Id="rId2" Type="http://schemas.openxmlformats.org/officeDocument/2006/relationships/printerSettings" Target="../printerSettings/printerSettings286.bin"/><Relationship Id="rId1" Type="http://schemas.openxmlformats.org/officeDocument/2006/relationships/printerSettings" Target="../printerSettings/printerSettings28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8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0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3.bin"/><Relationship Id="rId2" Type="http://schemas.openxmlformats.org/officeDocument/2006/relationships/printerSettings" Target="../printerSettings/printerSettings292.bin"/><Relationship Id="rId1" Type="http://schemas.openxmlformats.org/officeDocument/2006/relationships/printerSettings" Target="../printerSettings/printerSettings291.bin"/><Relationship Id="rId4" Type="http://schemas.openxmlformats.org/officeDocument/2006/relationships/printerSettings" Target="../printerSettings/printerSettings294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7.bin"/><Relationship Id="rId2" Type="http://schemas.openxmlformats.org/officeDocument/2006/relationships/printerSettings" Target="../printerSettings/printerSettings296.bin"/><Relationship Id="rId1" Type="http://schemas.openxmlformats.org/officeDocument/2006/relationships/printerSettings" Target="../printerSettings/printerSettings295.bin"/><Relationship Id="rId4" Type="http://schemas.openxmlformats.org/officeDocument/2006/relationships/printerSettings" Target="../printerSettings/printerSettings298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1.bin"/><Relationship Id="rId2" Type="http://schemas.openxmlformats.org/officeDocument/2006/relationships/printerSettings" Target="../printerSettings/printerSettings300.bin"/><Relationship Id="rId1" Type="http://schemas.openxmlformats.org/officeDocument/2006/relationships/printerSettings" Target="../printerSettings/printerSettings299.bin"/><Relationship Id="rId4" Type="http://schemas.openxmlformats.org/officeDocument/2006/relationships/printerSettings" Target="../printerSettings/printerSettings302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5.bin"/><Relationship Id="rId2" Type="http://schemas.openxmlformats.org/officeDocument/2006/relationships/printerSettings" Target="../printerSettings/printerSettings304.bin"/><Relationship Id="rId1" Type="http://schemas.openxmlformats.org/officeDocument/2006/relationships/printerSettings" Target="../printerSettings/printerSettings303.bin"/><Relationship Id="rId4" Type="http://schemas.openxmlformats.org/officeDocument/2006/relationships/printerSettings" Target="../printerSettings/printerSettings30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zoomScaleNormal="75" zoomScaleSheetLayoutView="100" workbookViewId="0"/>
  </sheetViews>
  <sheetFormatPr defaultRowHeight="12.75"/>
  <cols>
    <col min="1" max="1" width="42.140625" customWidth="1"/>
    <col min="2" max="2" width="20.7109375" bestFit="1" customWidth="1"/>
    <col min="4" max="4" width="6.42578125" customWidth="1"/>
    <col min="10" max="10" width="19.140625" bestFit="1" customWidth="1"/>
    <col min="11" max="11" width="13.140625" bestFit="1" customWidth="1"/>
    <col min="22" max="22" width="87.28515625" customWidth="1"/>
  </cols>
  <sheetData>
    <row r="1" spans="1:8" ht="113.25" customHeight="1" thickBot="1">
      <c r="A1" s="265" t="s">
        <v>745</v>
      </c>
      <c r="B1" s="266" t="s">
        <v>2202</v>
      </c>
      <c r="C1" s="266" t="s">
        <v>2203</v>
      </c>
      <c r="D1" s="267"/>
      <c r="E1" s="267" t="s">
        <v>2204</v>
      </c>
      <c r="F1" s="267" t="s">
        <v>2205</v>
      </c>
      <c r="G1" s="267" t="s">
        <v>2206</v>
      </c>
      <c r="H1" s="267" t="s">
        <v>2207</v>
      </c>
    </row>
    <row r="2" spans="1:8" ht="15.75" thickBot="1">
      <c r="A2" s="145"/>
      <c r="B2" s="159"/>
      <c r="C2" s="159"/>
      <c r="D2" s="152" t="s">
        <v>1012</v>
      </c>
      <c r="E2" s="153" t="s">
        <v>1013</v>
      </c>
      <c r="F2" s="153" t="s">
        <v>1014</v>
      </c>
      <c r="G2" s="153" t="s">
        <v>1015</v>
      </c>
      <c r="H2" s="153" t="s">
        <v>1016</v>
      </c>
    </row>
    <row r="3" spans="1:8" ht="15.75" thickBot="1">
      <c r="A3" s="144" t="s">
        <v>739</v>
      </c>
      <c r="B3" s="160" t="s">
        <v>740</v>
      </c>
      <c r="C3" s="161"/>
      <c r="D3" s="154">
        <v>7100</v>
      </c>
      <c r="E3" s="819">
        <f>SUM(F3:H3)</f>
        <v>2000</v>
      </c>
      <c r="F3" s="820">
        <v>1000</v>
      </c>
      <c r="G3" s="820">
        <v>600</v>
      </c>
      <c r="H3" s="820">
        <v>400</v>
      </c>
    </row>
    <row r="4" spans="1:8" ht="15.75" thickBot="1">
      <c r="A4" s="146" t="s">
        <v>741</v>
      </c>
      <c r="B4" s="162" t="s">
        <v>742</v>
      </c>
      <c r="C4" s="163">
        <v>3</v>
      </c>
      <c r="D4" s="155">
        <v>7110</v>
      </c>
      <c r="E4" s="819">
        <f t="shared" ref="E4:E23" si="0">SUM(F4:H4)</f>
        <v>1000</v>
      </c>
      <c r="F4" s="821">
        <v>500</v>
      </c>
      <c r="G4" s="821">
        <v>300</v>
      </c>
      <c r="H4" s="821">
        <v>200</v>
      </c>
    </row>
    <row r="5" spans="1:8" ht="30.75" thickBot="1">
      <c r="A5" s="147" t="s">
        <v>968</v>
      </c>
      <c r="B5" s="164" t="s">
        <v>969</v>
      </c>
      <c r="C5" s="165">
        <v>6</v>
      </c>
      <c r="D5" s="155">
        <v>7120</v>
      </c>
      <c r="E5" s="819">
        <f t="shared" si="0"/>
        <v>1000</v>
      </c>
      <c r="F5" s="822">
        <v>500</v>
      </c>
      <c r="G5" s="822">
        <v>300</v>
      </c>
      <c r="H5" s="822">
        <v>200</v>
      </c>
    </row>
    <row r="6" spans="1:8" ht="15.75" thickBot="1">
      <c r="A6" s="147" t="s">
        <v>1101</v>
      </c>
      <c r="B6" s="164" t="s">
        <v>1102</v>
      </c>
      <c r="C6" s="165">
        <v>7</v>
      </c>
      <c r="D6" s="155">
        <v>7130</v>
      </c>
      <c r="E6" s="819">
        <f t="shared" si="0"/>
        <v>1000</v>
      </c>
      <c r="F6" s="822">
        <v>500</v>
      </c>
      <c r="G6" s="822">
        <v>300</v>
      </c>
      <c r="H6" s="822">
        <v>200</v>
      </c>
    </row>
    <row r="7" spans="1:8" ht="30.75" thickBot="1">
      <c r="A7" s="147" t="s">
        <v>1103</v>
      </c>
      <c r="B7" s="164" t="s">
        <v>1104</v>
      </c>
      <c r="C7" s="165">
        <v>8</v>
      </c>
      <c r="D7" s="155">
        <v>7140</v>
      </c>
      <c r="E7" s="819">
        <f t="shared" si="0"/>
        <v>1000</v>
      </c>
      <c r="F7" s="822">
        <v>500</v>
      </c>
      <c r="G7" s="822">
        <v>300</v>
      </c>
      <c r="H7" s="822">
        <v>200</v>
      </c>
    </row>
    <row r="8" spans="1:8" ht="15.75" thickBot="1">
      <c r="A8" s="147" t="s">
        <v>1105</v>
      </c>
      <c r="B8" s="164" t="s">
        <v>1106</v>
      </c>
      <c r="C8" s="165">
        <v>9</v>
      </c>
      <c r="D8" s="155">
        <v>7150</v>
      </c>
      <c r="E8" s="819">
        <f t="shared" si="0"/>
        <v>1000</v>
      </c>
      <c r="F8" s="822">
        <v>500</v>
      </c>
      <c r="G8" s="822">
        <v>300</v>
      </c>
      <c r="H8" s="822">
        <v>200</v>
      </c>
    </row>
    <row r="9" spans="1:8" ht="15.75" thickBot="1">
      <c r="A9" s="147" t="s">
        <v>468</v>
      </c>
      <c r="B9" s="164" t="s">
        <v>469</v>
      </c>
      <c r="C9" s="165">
        <v>11</v>
      </c>
      <c r="D9" s="155">
        <v>7160</v>
      </c>
      <c r="E9" s="819">
        <f t="shared" si="0"/>
        <v>1000</v>
      </c>
      <c r="F9" s="822">
        <v>500</v>
      </c>
      <c r="G9" s="822">
        <v>300</v>
      </c>
      <c r="H9" s="822">
        <v>200</v>
      </c>
    </row>
    <row r="10" spans="1:8" ht="30.75" thickBot="1">
      <c r="A10" s="148" t="s">
        <v>470</v>
      </c>
      <c r="B10" s="166" t="s">
        <v>471</v>
      </c>
      <c r="C10" s="167"/>
      <c r="D10" s="155">
        <v>7170</v>
      </c>
      <c r="E10" s="819">
        <f t="shared" si="0"/>
        <v>1000</v>
      </c>
      <c r="F10" s="823">
        <v>500</v>
      </c>
      <c r="G10" s="823">
        <v>300</v>
      </c>
      <c r="H10" s="823">
        <v>200</v>
      </c>
    </row>
    <row r="11" spans="1:8" ht="15.75" thickBot="1">
      <c r="A11" s="146" t="s">
        <v>472</v>
      </c>
      <c r="B11" s="162" t="s">
        <v>740</v>
      </c>
      <c r="C11" s="163"/>
      <c r="D11" s="155">
        <v>7190</v>
      </c>
      <c r="E11" s="819">
        <f t="shared" si="0"/>
        <v>1000</v>
      </c>
      <c r="F11" s="824">
        <f>SUM(F12:F13)</f>
        <v>500</v>
      </c>
      <c r="G11" s="824">
        <f>SUM(G12:G13)</f>
        <v>300</v>
      </c>
      <c r="H11" s="824">
        <f>SUM(H12:H13)</f>
        <v>200</v>
      </c>
    </row>
    <row r="12" spans="1:8" ht="15.75" thickBot="1">
      <c r="A12" s="149" t="s">
        <v>473</v>
      </c>
      <c r="B12" s="162" t="s">
        <v>474</v>
      </c>
      <c r="C12" s="163">
        <v>13</v>
      </c>
      <c r="D12" s="155">
        <v>7200</v>
      </c>
      <c r="E12" s="819">
        <f t="shared" si="0"/>
        <v>500</v>
      </c>
      <c r="F12" s="821">
        <v>250</v>
      </c>
      <c r="G12" s="821">
        <v>150</v>
      </c>
      <c r="H12" s="821">
        <v>100</v>
      </c>
    </row>
    <row r="13" spans="1:8" ht="15.75" thickBot="1">
      <c r="A13" s="150" t="s">
        <v>475</v>
      </c>
      <c r="B13" s="160" t="s">
        <v>476</v>
      </c>
      <c r="C13" s="161">
        <v>14</v>
      </c>
      <c r="D13" s="155">
        <v>7210</v>
      </c>
      <c r="E13" s="819">
        <f t="shared" si="0"/>
        <v>500</v>
      </c>
      <c r="F13" s="825">
        <v>250</v>
      </c>
      <c r="G13" s="825">
        <v>150</v>
      </c>
      <c r="H13" s="825">
        <v>100</v>
      </c>
    </row>
    <row r="14" spans="1:8" ht="15.75" thickBot="1">
      <c r="A14" s="146" t="s">
        <v>477</v>
      </c>
      <c r="B14" s="162" t="s">
        <v>478</v>
      </c>
      <c r="C14" s="163">
        <v>15</v>
      </c>
      <c r="D14" s="155">
        <v>7220</v>
      </c>
      <c r="E14" s="819">
        <f t="shared" si="0"/>
        <v>1000</v>
      </c>
      <c r="F14" s="824">
        <f>SUM(F15:F16)</f>
        <v>500</v>
      </c>
      <c r="G14" s="824">
        <f>SUM(G15:G16)</f>
        <v>300</v>
      </c>
      <c r="H14" s="824">
        <f>SUM(H15:H16)</f>
        <v>200</v>
      </c>
    </row>
    <row r="15" spans="1:8" ht="16.5" customHeight="1" thickBot="1">
      <c r="A15" s="149" t="s">
        <v>479</v>
      </c>
      <c r="B15" s="162" t="s">
        <v>480</v>
      </c>
      <c r="C15" s="163"/>
      <c r="D15" s="155">
        <v>7223</v>
      </c>
      <c r="E15" s="819">
        <f t="shared" si="0"/>
        <v>108</v>
      </c>
      <c r="F15" s="821">
        <v>54</v>
      </c>
      <c r="G15" s="821">
        <v>32.4</v>
      </c>
      <c r="H15" s="821">
        <v>21.6</v>
      </c>
    </row>
    <row r="16" spans="1:8" ht="17.25" customHeight="1" thickBot="1">
      <c r="A16" s="150" t="s">
        <v>481</v>
      </c>
      <c r="B16" s="160" t="s">
        <v>482</v>
      </c>
      <c r="C16" s="161"/>
      <c r="D16" s="155">
        <v>7225</v>
      </c>
      <c r="E16" s="819">
        <f t="shared" si="0"/>
        <v>892</v>
      </c>
      <c r="F16" s="825">
        <v>446</v>
      </c>
      <c r="G16" s="825">
        <v>267.60000000000002</v>
      </c>
      <c r="H16" s="825">
        <v>178.4</v>
      </c>
    </row>
    <row r="17" spans="1:17" ht="45.75" thickBot="1">
      <c r="A17" s="144" t="s">
        <v>809</v>
      </c>
      <c r="B17" s="160" t="s">
        <v>483</v>
      </c>
      <c r="C17" s="168"/>
      <c r="D17" s="155">
        <v>7230</v>
      </c>
      <c r="E17" s="819">
        <f t="shared" si="0"/>
        <v>1000</v>
      </c>
      <c r="F17" s="825">
        <v>500</v>
      </c>
      <c r="G17" s="825">
        <v>300</v>
      </c>
      <c r="H17" s="825">
        <v>200</v>
      </c>
    </row>
    <row r="18" spans="1:17" ht="15.75" thickBot="1">
      <c r="A18" s="146" t="s">
        <v>484</v>
      </c>
      <c r="B18" s="162" t="s">
        <v>485</v>
      </c>
      <c r="C18" s="163"/>
      <c r="D18" s="155">
        <v>7240</v>
      </c>
      <c r="E18" s="819">
        <f t="shared" si="0"/>
        <v>1000</v>
      </c>
      <c r="F18" s="824">
        <f>SUM(F19:F20)</f>
        <v>500</v>
      </c>
      <c r="G18" s="824">
        <f>SUM(G19:G20)</f>
        <v>300</v>
      </c>
      <c r="H18" s="824">
        <f>SUM(H19:H20)</f>
        <v>200</v>
      </c>
    </row>
    <row r="19" spans="1:17" ht="15.75" thickBot="1">
      <c r="A19" s="149" t="s">
        <v>486</v>
      </c>
      <c r="B19" s="162" t="s">
        <v>2501</v>
      </c>
      <c r="C19" s="163"/>
      <c r="D19" s="155">
        <v>7243</v>
      </c>
      <c r="E19" s="819">
        <f t="shared" si="0"/>
        <v>500</v>
      </c>
      <c r="F19" s="821">
        <v>250</v>
      </c>
      <c r="G19" s="821">
        <v>150</v>
      </c>
      <c r="H19" s="821">
        <v>100</v>
      </c>
    </row>
    <row r="20" spans="1:17" ht="15.75" thickBot="1">
      <c r="A20" s="150" t="s">
        <v>2502</v>
      </c>
      <c r="B20" s="160" t="s">
        <v>2503</v>
      </c>
      <c r="C20" s="161"/>
      <c r="D20" s="155">
        <v>7247</v>
      </c>
      <c r="E20" s="819">
        <f t="shared" si="0"/>
        <v>500</v>
      </c>
      <c r="F20" s="825">
        <v>250</v>
      </c>
      <c r="G20" s="825">
        <v>150</v>
      </c>
      <c r="H20" s="825">
        <v>100</v>
      </c>
    </row>
    <row r="21" spans="1:17" ht="15.75" thickBot="1">
      <c r="A21" s="144" t="s">
        <v>2504</v>
      </c>
      <c r="B21" s="160" t="s">
        <v>1008</v>
      </c>
      <c r="C21" s="161">
        <v>18</v>
      </c>
      <c r="D21" s="155">
        <v>7250</v>
      </c>
      <c r="E21" s="819">
        <f t="shared" si="0"/>
        <v>1000</v>
      </c>
      <c r="F21" s="825">
        <v>500</v>
      </c>
      <c r="G21" s="825">
        <v>300</v>
      </c>
      <c r="H21" s="825">
        <v>200</v>
      </c>
    </row>
    <row r="22" spans="1:17" ht="30.75" thickBot="1">
      <c r="A22" s="146" t="s">
        <v>1009</v>
      </c>
      <c r="B22" s="162" t="s">
        <v>1010</v>
      </c>
      <c r="C22" s="163">
        <v>19</v>
      </c>
      <c r="D22" s="157">
        <v>7260</v>
      </c>
      <c r="E22" s="819">
        <f t="shared" si="0"/>
        <v>1000</v>
      </c>
      <c r="F22" s="821">
        <v>500</v>
      </c>
      <c r="G22" s="821">
        <v>300</v>
      </c>
      <c r="H22" s="821">
        <v>200</v>
      </c>
    </row>
    <row r="23" spans="1:17" ht="15.75" thickBot="1">
      <c r="A23" s="151" t="s">
        <v>1011</v>
      </c>
      <c r="B23" s="169"/>
      <c r="C23" s="170"/>
      <c r="D23" s="158">
        <v>7999</v>
      </c>
      <c r="E23" s="826">
        <f t="shared" si="0"/>
        <v>15000</v>
      </c>
      <c r="F23" s="826">
        <f>SUM(F3:F11,F14,F17:F18,F21:F22)</f>
        <v>7500</v>
      </c>
      <c r="G23" s="826">
        <f>SUM(G3:G11,G14,G17:G18,G21:G22)</f>
        <v>4500</v>
      </c>
      <c r="H23" s="826">
        <f>SUM(H3:H11,H14,H17:H18,H21:H22)</f>
        <v>3000</v>
      </c>
    </row>
    <row r="26" spans="1:17" s="1134" customFormat="1" ht="14.25" customHeight="1">
      <c r="A26" s="1139"/>
      <c r="B26" s="33"/>
      <c r="C26" s="27">
        <v>10</v>
      </c>
      <c r="D26" s="28" t="b">
        <f>E23=E3+E4+E5+E6+E7+E8+E9+E10+E11+E14+E17+E18+E21+E22</f>
        <v>1</v>
      </c>
      <c r="E26" s="28" t="s">
        <v>2659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140"/>
    </row>
    <row r="27" spans="1:17" s="1134" customFormat="1" ht="14.25" customHeight="1">
      <c r="A27" s="1139"/>
      <c r="B27" s="33"/>
      <c r="C27" s="27">
        <v>20</v>
      </c>
      <c r="D27" s="28" t="b">
        <f>F23=F3+F4+F5+F6+F7+F8+F9+F10+F11+F14+F17+F18+F21+F22</f>
        <v>1</v>
      </c>
      <c r="E27" s="28" t="s">
        <v>1162</v>
      </c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40"/>
    </row>
    <row r="28" spans="1:17" s="1134" customFormat="1" ht="14.25" customHeight="1">
      <c r="A28" s="1139"/>
      <c r="B28" s="33"/>
      <c r="C28" s="27">
        <v>30</v>
      </c>
      <c r="D28" s="28" t="b">
        <f>G23=G3+G4+G5+G6+G7+G8+G9+G10+G11+G14+G17+G18+G21+G22</f>
        <v>1</v>
      </c>
      <c r="E28" s="28" t="s">
        <v>1163</v>
      </c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5"/>
      <c r="Q28" s="1140"/>
    </row>
    <row r="29" spans="1:17" s="1134" customFormat="1" ht="14.25" customHeight="1">
      <c r="A29" s="1139"/>
      <c r="B29" s="33"/>
      <c r="C29" s="27">
        <v>40</v>
      </c>
      <c r="D29" s="28" t="b">
        <f>H23=H3+H4+H5+H6+H7+H8+H9+H10+H11+H14+H17+H18+H21+H22</f>
        <v>1</v>
      </c>
      <c r="E29" s="28" t="s">
        <v>1164</v>
      </c>
      <c r="F29" s="788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40"/>
    </row>
    <row r="30" spans="1:17" s="1134" customFormat="1" ht="14.25" customHeight="1">
      <c r="A30" s="1139"/>
      <c r="B30" s="33"/>
      <c r="C30" s="27">
        <v>50</v>
      </c>
      <c r="D30" s="28" t="b">
        <f>E3=F3+G3+H3</f>
        <v>1</v>
      </c>
      <c r="E30" s="788" t="s">
        <v>1158</v>
      </c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  <c r="P30" s="1155"/>
      <c r="Q30" s="1140"/>
    </row>
    <row r="31" spans="1:17" s="1134" customFormat="1" ht="14.25" customHeight="1">
      <c r="A31" s="1139"/>
      <c r="B31" s="33"/>
      <c r="C31" s="27">
        <v>60</v>
      </c>
      <c r="D31" s="28" t="b">
        <f t="shared" ref="D31:D49" si="1">E4=F4+G4+H4</f>
        <v>1</v>
      </c>
      <c r="E31" s="788" t="s">
        <v>1159</v>
      </c>
      <c r="F31" s="1155"/>
      <c r="G31" s="1155"/>
      <c r="H31" s="1155"/>
      <c r="I31" s="1155"/>
      <c r="J31" s="1155"/>
      <c r="K31" s="1155"/>
      <c r="L31" s="1155"/>
      <c r="M31" s="1155"/>
      <c r="N31" s="1155"/>
      <c r="O31" s="1155"/>
      <c r="P31" s="1155"/>
      <c r="Q31" s="1140"/>
    </row>
    <row r="32" spans="1:17" s="1134" customFormat="1" ht="14.25" customHeight="1">
      <c r="A32" s="1139"/>
      <c r="B32" s="33"/>
      <c r="C32" s="27">
        <v>70</v>
      </c>
      <c r="D32" s="28" t="b">
        <f t="shared" si="1"/>
        <v>1</v>
      </c>
      <c r="E32" s="788" t="s">
        <v>1160</v>
      </c>
      <c r="F32" s="1155"/>
      <c r="G32" s="1155"/>
      <c r="H32" s="1155"/>
      <c r="I32" s="1155"/>
      <c r="J32" s="1155"/>
      <c r="K32" s="1155"/>
      <c r="L32" s="1155"/>
      <c r="M32" s="1155"/>
      <c r="N32" s="1155"/>
      <c r="O32" s="1155"/>
      <c r="P32" s="1155"/>
      <c r="Q32" s="1140"/>
    </row>
    <row r="33" spans="1:17" s="1134" customFormat="1" ht="14.25" customHeight="1">
      <c r="A33" s="1139"/>
      <c r="B33" s="33"/>
      <c r="C33" s="27">
        <v>80</v>
      </c>
      <c r="D33" s="28" t="b">
        <f t="shared" si="1"/>
        <v>1</v>
      </c>
      <c r="E33" s="788" t="s">
        <v>1161</v>
      </c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40"/>
    </row>
    <row r="34" spans="1:17" s="1134" customFormat="1" ht="14.25" customHeight="1">
      <c r="A34" s="1139"/>
      <c r="B34" s="33"/>
      <c r="C34" s="27">
        <v>90</v>
      </c>
      <c r="D34" s="28" t="b">
        <f t="shared" si="1"/>
        <v>1</v>
      </c>
      <c r="E34" s="788" t="s">
        <v>1022</v>
      </c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40"/>
    </row>
    <row r="35" spans="1:17" s="1134" customFormat="1" ht="14.25" customHeight="1">
      <c r="A35" s="1139"/>
      <c r="B35" s="33"/>
      <c r="C35" s="27">
        <v>100</v>
      </c>
      <c r="D35" s="28" t="b">
        <f t="shared" si="1"/>
        <v>1</v>
      </c>
      <c r="E35" s="788" t="s">
        <v>1023</v>
      </c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40"/>
    </row>
    <row r="36" spans="1:17" s="1134" customFormat="1" ht="14.25" customHeight="1">
      <c r="A36" s="1139"/>
      <c r="B36" s="33"/>
      <c r="C36" s="27">
        <v>110</v>
      </c>
      <c r="D36" s="28" t="b">
        <f t="shared" si="1"/>
        <v>1</v>
      </c>
      <c r="E36" s="788" t="s">
        <v>1024</v>
      </c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40"/>
    </row>
    <row r="37" spans="1:17" s="1134" customFormat="1" ht="14.25" customHeight="1">
      <c r="A37" s="1139"/>
      <c r="B37" s="33"/>
      <c r="C37" s="27">
        <v>120</v>
      </c>
      <c r="D37" s="28" t="b">
        <f t="shared" si="1"/>
        <v>1</v>
      </c>
      <c r="E37" s="788" t="s">
        <v>1025</v>
      </c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40"/>
    </row>
    <row r="38" spans="1:17" s="1134" customFormat="1" ht="14.25" customHeight="1">
      <c r="A38" s="1139"/>
      <c r="B38" s="33"/>
      <c r="C38" s="27">
        <v>130</v>
      </c>
      <c r="D38" s="28" t="b">
        <f t="shared" si="1"/>
        <v>1</v>
      </c>
      <c r="E38" s="788" t="s">
        <v>1026</v>
      </c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40"/>
    </row>
    <row r="39" spans="1:17" s="1134" customFormat="1" ht="14.25" customHeight="1">
      <c r="A39" s="1139"/>
      <c r="B39" s="33"/>
      <c r="C39" s="27">
        <v>140</v>
      </c>
      <c r="D39" s="28" t="b">
        <f t="shared" si="1"/>
        <v>1</v>
      </c>
      <c r="E39" s="788" t="s">
        <v>1027</v>
      </c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40"/>
    </row>
    <row r="40" spans="1:17" s="1134" customFormat="1" ht="14.25" customHeight="1">
      <c r="A40" s="1139"/>
      <c r="B40" s="33"/>
      <c r="C40" s="27">
        <v>150</v>
      </c>
      <c r="D40" s="28" t="b">
        <f t="shared" si="1"/>
        <v>1</v>
      </c>
      <c r="E40" s="788" t="s">
        <v>1028</v>
      </c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40"/>
    </row>
    <row r="41" spans="1:17" s="1134" customFormat="1" ht="14.25" customHeight="1">
      <c r="A41" s="1139"/>
      <c r="B41" s="33"/>
      <c r="C41" s="27">
        <v>160</v>
      </c>
      <c r="D41" s="28" t="b">
        <f t="shared" si="1"/>
        <v>1</v>
      </c>
      <c r="E41" s="788" t="s">
        <v>1029</v>
      </c>
      <c r="F41" s="1155"/>
      <c r="G41" s="1155"/>
      <c r="H41" s="1155"/>
      <c r="I41" s="1155"/>
      <c r="J41" s="1155"/>
      <c r="K41" s="1155"/>
      <c r="L41" s="1155"/>
      <c r="M41" s="1155"/>
      <c r="N41" s="1155"/>
      <c r="O41" s="1155"/>
      <c r="P41" s="1155"/>
      <c r="Q41" s="1140"/>
    </row>
    <row r="42" spans="1:17" s="1134" customFormat="1" ht="14.25" customHeight="1">
      <c r="A42" s="1139"/>
      <c r="B42" s="33"/>
      <c r="C42" s="27">
        <v>170</v>
      </c>
      <c r="D42" s="28" t="b">
        <f t="shared" si="1"/>
        <v>1</v>
      </c>
      <c r="E42" s="788" t="s">
        <v>1030</v>
      </c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40"/>
    </row>
    <row r="43" spans="1:17" s="1134" customFormat="1" ht="14.25" customHeight="1">
      <c r="A43" s="1139"/>
      <c r="B43" s="33"/>
      <c r="C43" s="27">
        <v>180</v>
      </c>
      <c r="D43" s="28" t="b">
        <f t="shared" si="1"/>
        <v>1</v>
      </c>
      <c r="E43" s="788" t="s">
        <v>1031</v>
      </c>
      <c r="F43" s="1155"/>
      <c r="G43" s="1155"/>
      <c r="H43" s="1155"/>
      <c r="I43" s="1155"/>
      <c r="J43" s="1155"/>
      <c r="K43" s="1155"/>
      <c r="L43" s="1155"/>
      <c r="M43" s="1155"/>
      <c r="N43" s="1155"/>
      <c r="O43" s="1155"/>
      <c r="P43" s="1155"/>
      <c r="Q43" s="1140"/>
    </row>
    <row r="44" spans="1:17" s="1134" customFormat="1" ht="14.25" customHeight="1">
      <c r="A44" s="1139"/>
      <c r="B44" s="33"/>
      <c r="C44" s="27">
        <v>190</v>
      </c>
      <c r="D44" s="28" t="b">
        <f t="shared" si="1"/>
        <v>1</v>
      </c>
      <c r="E44" s="788" t="s">
        <v>1032</v>
      </c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40"/>
    </row>
    <row r="45" spans="1:17" s="1134" customFormat="1" ht="16.5" customHeight="1">
      <c r="A45" s="1139"/>
      <c r="B45" s="33"/>
      <c r="C45" s="27">
        <v>200</v>
      </c>
      <c r="D45" s="28" t="b">
        <f t="shared" si="1"/>
        <v>1</v>
      </c>
      <c r="E45" s="788" t="s">
        <v>1033</v>
      </c>
      <c r="F45" s="1155"/>
      <c r="G45" s="1155"/>
      <c r="H45" s="1155"/>
      <c r="I45" s="1155"/>
      <c r="J45" s="1155"/>
      <c r="K45" s="1155"/>
      <c r="L45" s="1155"/>
      <c r="M45" s="1155"/>
      <c r="N45" s="1155"/>
      <c r="O45" s="1155"/>
      <c r="P45" s="1155"/>
      <c r="Q45" s="1140"/>
    </row>
    <row r="46" spans="1:17" s="1134" customFormat="1" ht="16.5" customHeight="1">
      <c r="A46" s="1139"/>
      <c r="B46" s="33"/>
      <c r="C46" s="27">
        <v>210</v>
      </c>
      <c r="D46" s="28" t="b">
        <f t="shared" si="1"/>
        <v>1</v>
      </c>
      <c r="E46" s="788" t="s">
        <v>1034</v>
      </c>
      <c r="F46" s="1155"/>
      <c r="G46" s="1155"/>
      <c r="H46" s="1155"/>
      <c r="I46" s="1155"/>
      <c r="J46" s="1155"/>
      <c r="K46" s="1155"/>
      <c r="L46" s="1155"/>
      <c r="M46" s="1155"/>
      <c r="N46" s="1155"/>
      <c r="O46" s="1155"/>
      <c r="P46" s="1155"/>
      <c r="Q46" s="1140"/>
    </row>
    <row r="47" spans="1:17" s="1134" customFormat="1" ht="16.5" customHeight="1">
      <c r="A47" s="1139"/>
      <c r="B47" s="33"/>
      <c r="C47" s="27">
        <v>220</v>
      </c>
      <c r="D47" s="28" t="b">
        <f t="shared" si="1"/>
        <v>1</v>
      </c>
      <c r="E47" s="788" t="s">
        <v>1035</v>
      </c>
      <c r="F47" s="1155"/>
      <c r="G47" s="1155"/>
      <c r="H47" s="1155"/>
      <c r="I47" s="1155"/>
      <c r="J47" s="1155"/>
      <c r="K47" s="1155"/>
      <c r="L47" s="1155"/>
      <c r="M47" s="1155"/>
      <c r="N47" s="1155"/>
      <c r="O47" s="1155"/>
      <c r="P47" s="1155"/>
      <c r="Q47" s="1140"/>
    </row>
    <row r="48" spans="1:17" s="1134" customFormat="1" ht="14.25" customHeight="1">
      <c r="A48" s="1139"/>
      <c r="B48" s="33"/>
      <c r="C48" s="27">
        <v>230</v>
      </c>
      <c r="D48" s="28" t="b">
        <f t="shared" si="1"/>
        <v>1</v>
      </c>
      <c r="E48" s="788" t="s">
        <v>1036</v>
      </c>
      <c r="F48" s="1155"/>
      <c r="G48" s="1155"/>
      <c r="H48" s="1155"/>
      <c r="I48" s="1155"/>
      <c r="J48" s="1155"/>
      <c r="K48" s="1155"/>
      <c r="L48" s="1155"/>
      <c r="M48" s="1155"/>
      <c r="N48" s="1155"/>
      <c r="O48" s="1155"/>
      <c r="P48" s="1155"/>
      <c r="Q48" s="1140"/>
    </row>
    <row r="49" spans="1:17" s="1134" customFormat="1" ht="14.25" customHeight="1">
      <c r="A49" s="1139"/>
      <c r="B49" s="33"/>
      <c r="C49" s="27">
        <v>240</v>
      </c>
      <c r="D49" s="28" t="b">
        <f t="shared" si="1"/>
        <v>1</v>
      </c>
      <c r="E49" s="788" t="s">
        <v>1037</v>
      </c>
      <c r="F49" s="1155"/>
      <c r="G49" s="1155"/>
      <c r="H49" s="1155"/>
      <c r="I49" s="1155"/>
      <c r="J49" s="1155"/>
      <c r="K49" s="1155"/>
      <c r="L49" s="1155"/>
      <c r="M49" s="1155"/>
      <c r="N49" s="1155"/>
      <c r="O49" s="1155"/>
      <c r="P49" s="1155"/>
      <c r="Q49" s="1140"/>
    </row>
    <row r="50" spans="1:17" s="1134" customFormat="1" ht="14.25" customHeight="1">
      <c r="A50" s="1139"/>
      <c r="B50" s="33"/>
      <c r="C50" s="27">
        <v>250</v>
      </c>
      <c r="D50" s="28" t="b">
        <f>E23=F23+G23+H23</f>
        <v>1</v>
      </c>
      <c r="E50" s="788" t="s">
        <v>1038</v>
      </c>
      <c r="F50" s="1155"/>
      <c r="G50" s="1155"/>
      <c r="H50" s="1155"/>
      <c r="I50" s="1155"/>
      <c r="J50" s="1155"/>
      <c r="K50" s="1155"/>
      <c r="L50" s="1155"/>
      <c r="M50" s="1155"/>
      <c r="N50" s="1155"/>
      <c r="O50" s="1155"/>
      <c r="P50" s="1155"/>
      <c r="Q50" s="1140"/>
    </row>
    <row r="51" spans="1:17" s="1134" customFormat="1" ht="14.25" customHeight="1">
      <c r="A51" s="1139"/>
      <c r="B51" s="33"/>
      <c r="C51" s="27">
        <v>260</v>
      </c>
      <c r="D51" s="28" t="b">
        <f>E14=E15+E16</f>
        <v>1</v>
      </c>
      <c r="E51" s="788" t="s">
        <v>1039</v>
      </c>
      <c r="F51" s="1155"/>
      <c r="G51" s="1155"/>
      <c r="H51" s="1155"/>
      <c r="I51" s="1155"/>
      <c r="J51" s="1155"/>
      <c r="K51" s="1155"/>
      <c r="L51" s="1155"/>
      <c r="M51" s="1155"/>
      <c r="N51" s="1155"/>
      <c r="O51" s="1155"/>
      <c r="P51" s="1155"/>
      <c r="Q51" s="1140"/>
    </row>
    <row r="52" spans="1:17" s="1134" customFormat="1" ht="14.25" customHeight="1">
      <c r="A52" s="1139"/>
      <c r="B52" s="33"/>
      <c r="C52" s="27">
        <v>270</v>
      </c>
      <c r="D52" s="28" t="b">
        <f>F14=F15+F16</f>
        <v>1</v>
      </c>
      <c r="E52" s="788" t="s">
        <v>1040</v>
      </c>
      <c r="F52" s="1155"/>
      <c r="G52" s="1155"/>
      <c r="H52" s="1155"/>
      <c r="I52" s="1155"/>
      <c r="J52" s="1155"/>
      <c r="K52" s="1155"/>
      <c r="L52" s="1155"/>
      <c r="M52" s="1155"/>
      <c r="N52" s="1155"/>
      <c r="O52" s="1155"/>
      <c r="P52" s="1155"/>
      <c r="Q52" s="1140"/>
    </row>
    <row r="53" spans="1:17" s="1134" customFormat="1" ht="14.25" customHeight="1">
      <c r="A53" s="1139"/>
      <c r="B53" s="33"/>
      <c r="C53" s="27">
        <v>280</v>
      </c>
      <c r="D53" s="28" t="b">
        <f>G14=G15+G16</f>
        <v>1</v>
      </c>
      <c r="E53" s="788" t="s">
        <v>1041</v>
      </c>
      <c r="F53" s="1155"/>
      <c r="G53" s="1155"/>
      <c r="H53" s="1155"/>
      <c r="I53" s="1155"/>
      <c r="J53" s="1155"/>
      <c r="K53" s="1155"/>
      <c r="L53" s="1155"/>
      <c r="M53" s="1155"/>
      <c r="N53" s="1155"/>
      <c r="O53" s="1155"/>
      <c r="P53" s="1155"/>
      <c r="Q53" s="1140"/>
    </row>
    <row r="54" spans="1:17" s="1134" customFormat="1" ht="14.25" customHeight="1">
      <c r="A54" s="1139"/>
      <c r="B54" s="33"/>
      <c r="C54" s="27">
        <v>290</v>
      </c>
      <c r="D54" s="28" t="b">
        <f>H14=H15+H16</f>
        <v>1</v>
      </c>
      <c r="E54" s="788" t="s">
        <v>1042</v>
      </c>
      <c r="F54" s="1155"/>
      <c r="G54" s="1155"/>
      <c r="H54" s="1155"/>
      <c r="I54" s="1155"/>
      <c r="J54" s="1155"/>
      <c r="K54" s="1155"/>
      <c r="L54" s="1155"/>
      <c r="M54" s="1155"/>
      <c r="N54" s="1155"/>
      <c r="O54" s="1155"/>
      <c r="P54" s="1155"/>
      <c r="Q54" s="1140"/>
    </row>
    <row r="55" spans="1:17" s="1134" customFormat="1" ht="14.25" customHeight="1">
      <c r="A55" s="1139"/>
      <c r="B55" s="33"/>
      <c r="C55" s="27">
        <v>300</v>
      </c>
      <c r="D55" s="28" t="b">
        <f>E18=E19+E20</f>
        <v>1</v>
      </c>
      <c r="E55" s="788" t="s">
        <v>1043</v>
      </c>
      <c r="F55" s="1155"/>
      <c r="G55" s="1155"/>
      <c r="H55" s="1155"/>
      <c r="I55" s="1155"/>
      <c r="J55" s="1155"/>
      <c r="K55" s="1155"/>
      <c r="L55" s="1155"/>
      <c r="M55" s="1155"/>
      <c r="N55" s="1155"/>
      <c r="O55" s="1155"/>
      <c r="P55" s="1155"/>
      <c r="Q55" s="1140"/>
    </row>
    <row r="56" spans="1:17" s="1134" customFormat="1" ht="14.25" customHeight="1">
      <c r="A56" s="1139"/>
      <c r="B56" s="33"/>
      <c r="C56" s="27">
        <v>310</v>
      </c>
      <c r="D56" s="28" t="b">
        <f>F18=F19+F20</f>
        <v>1</v>
      </c>
      <c r="E56" s="788" t="s">
        <v>1044</v>
      </c>
      <c r="F56" s="1155"/>
      <c r="G56" s="1155"/>
      <c r="H56" s="1155"/>
      <c r="I56" s="1155"/>
      <c r="J56" s="1155"/>
      <c r="K56" s="1155"/>
      <c r="L56" s="1155"/>
      <c r="M56" s="1155"/>
      <c r="N56" s="1155"/>
      <c r="O56" s="1155"/>
      <c r="P56" s="1155"/>
      <c r="Q56" s="1140"/>
    </row>
    <row r="57" spans="1:17" s="1134" customFormat="1" ht="14.25" customHeight="1">
      <c r="A57" s="1139"/>
      <c r="B57" s="33"/>
      <c r="C57" s="27">
        <v>320</v>
      </c>
      <c r="D57" s="28" t="b">
        <f>G18=G19+G20</f>
        <v>1</v>
      </c>
      <c r="E57" s="788" t="s">
        <v>1045</v>
      </c>
      <c r="F57" s="1155"/>
      <c r="G57" s="1155"/>
      <c r="H57" s="1155"/>
      <c r="I57" s="1155"/>
      <c r="J57" s="1155"/>
      <c r="K57" s="1155"/>
      <c r="L57" s="1155"/>
      <c r="M57" s="1155"/>
      <c r="N57" s="1155"/>
      <c r="O57" s="1155"/>
      <c r="P57" s="1155"/>
      <c r="Q57" s="1140"/>
    </row>
    <row r="58" spans="1:17" s="1134" customFormat="1" ht="14.25" customHeight="1">
      <c r="A58" s="1139"/>
      <c r="B58" s="33"/>
      <c r="C58" s="27">
        <v>330</v>
      </c>
      <c r="D58" s="28" t="b">
        <f>H18=H19+H20</f>
        <v>1</v>
      </c>
      <c r="E58" s="788" t="s">
        <v>1046</v>
      </c>
      <c r="F58" s="1155"/>
      <c r="G58" s="1155"/>
      <c r="H58" s="1155"/>
      <c r="I58" s="1155"/>
      <c r="J58" s="1155"/>
      <c r="K58" s="1155"/>
      <c r="L58" s="1155"/>
      <c r="M58" s="1155"/>
      <c r="N58" s="1155"/>
      <c r="O58" s="1155"/>
      <c r="P58" s="1155"/>
      <c r="Q58" s="1140"/>
    </row>
    <row r="59" spans="1:17" s="1134" customFormat="1" ht="15.75">
      <c r="A59" s="1139"/>
      <c r="B59" s="33"/>
      <c r="C59" s="27">
        <v>340</v>
      </c>
      <c r="D59" s="28" t="b">
        <f>E23='1.2'!E22+'1.3'!E26</f>
        <v>1</v>
      </c>
      <c r="E59" s="29" t="s">
        <v>1047</v>
      </c>
      <c r="F59" s="1156"/>
      <c r="G59" s="1157"/>
      <c r="H59" s="1157"/>
      <c r="I59" s="1157"/>
      <c r="J59" s="1157"/>
      <c r="K59" s="1157"/>
      <c r="L59" s="1157"/>
      <c r="M59" s="1157"/>
      <c r="N59" s="1157"/>
      <c r="O59" s="1157"/>
      <c r="P59" s="1157"/>
    </row>
    <row r="60" spans="1:17" s="1134" customFormat="1" ht="13.5">
      <c r="A60" s="1139"/>
      <c r="B60" s="37"/>
      <c r="C60" s="27">
        <v>350</v>
      </c>
      <c r="D60" s="28" t="b">
        <f>E9 = '11.a'!E28+'11.a'!E53+'11.b'!D4+'11.b'!D5 +'11.a'!E54</f>
        <v>1</v>
      </c>
      <c r="E60" s="789" t="s">
        <v>1048</v>
      </c>
      <c r="F60" s="1136"/>
    </row>
    <row r="61" spans="1:17" s="1134" customFormat="1" ht="13.5">
      <c r="A61" s="1139"/>
      <c r="B61" s="37"/>
      <c r="C61" s="27">
        <v>360</v>
      </c>
      <c r="D61" s="28" t="b">
        <f>E11=E12+E13</f>
        <v>1</v>
      </c>
      <c r="E61" s="789" t="s">
        <v>1049</v>
      </c>
      <c r="F61" s="1136"/>
    </row>
    <row r="62" spans="1:17" s="1134" customFormat="1" ht="13.5">
      <c r="A62" s="1139"/>
      <c r="B62" s="37"/>
      <c r="C62" s="27">
        <v>370</v>
      </c>
      <c r="D62" s="28" t="b">
        <f>F11=F12+F13</f>
        <v>1</v>
      </c>
      <c r="E62" s="789" t="s">
        <v>1050</v>
      </c>
      <c r="F62" s="1136"/>
    </row>
    <row r="63" spans="1:17" s="1134" customFormat="1" ht="13.5">
      <c r="A63" s="1139"/>
      <c r="B63" s="37"/>
      <c r="C63" s="27">
        <v>380</v>
      </c>
      <c r="D63" s="28" t="b">
        <f>G11=G12+G13</f>
        <v>1</v>
      </c>
      <c r="E63" s="789" t="s">
        <v>1051</v>
      </c>
      <c r="F63" s="1136"/>
    </row>
    <row r="64" spans="1:17" s="1134" customFormat="1" ht="13.5">
      <c r="A64" s="1139"/>
      <c r="B64" s="37"/>
      <c r="C64" s="27">
        <v>390</v>
      </c>
      <c r="D64" s="28" t="b">
        <f>H11=H12+H13</f>
        <v>1</v>
      </c>
      <c r="E64" s="789" t="s">
        <v>1052</v>
      </c>
      <c r="F64" s="1136"/>
    </row>
    <row r="65" s="1134" customFormat="1" ht="13.5"/>
  </sheetData>
  <customSheetViews>
    <customSheetView guid="{5D819D0C-25F7-408A-B978-F4F86F7655CA}" showPageBreaks="1" showRuler="0" topLeftCell="C1">
      <selection activeCell="K9" sqref="K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 topLeftCell="A25">
      <selection activeCell="E60" sqref="E60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11" right="0.21" top="1" bottom="1" header="0.5" footer="0.5"/>
  <pageSetup paperSize="8" scale="110" orientation="portrait" r:id="rId4"/>
  <headerFooter alignWithMargins="0">
    <oddHeader>&amp;C1.1</oddHeader>
  </headerFooter>
  <rowBreaks count="1" manualBreakCount="1">
    <brk id="2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Normal="100" zoomScaleSheetLayoutView="100" workbookViewId="0"/>
  </sheetViews>
  <sheetFormatPr defaultRowHeight="12.75"/>
  <cols>
    <col min="1" max="1" width="48.5703125" customWidth="1"/>
    <col min="2" max="2" width="8.5703125" customWidth="1"/>
    <col min="4" max="4" width="9.42578125" customWidth="1"/>
    <col min="9" max="9" width="13.42578125" customWidth="1"/>
    <col min="10" max="10" width="19.42578125" customWidth="1"/>
    <col min="11" max="11" width="29.140625" customWidth="1"/>
  </cols>
  <sheetData>
    <row r="1" spans="1:5" ht="16.5" thickBot="1">
      <c r="A1" s="308" t="s">
        <v>529</v>
      </c>
      <c r="B1" s="287"/>
      <c r="C1" s="279"/>
      <c r="D1" s="279"/>
      <c r="E1" s="279"/>
    </row>
    <row r="2" spans="1:5" ht="86.25" customHeight="1" thickBot="1">
      <c r="A2" s="286" t="s">
        <v>1855</v>
      </c>
      <c r="B2" s="280"/>
      <c r="C2" s="271" t="s">
        <v>2205</v>
      </c>
      <c r="D2" s="271" t="s">
        <v>2206</v>
      </c>
      <c r="E2" s="271" t="s">
        <v>1854</v>
      </c>
    </row>
    <row r="3" spans="1:5" s="2" customFormat="1" ht="15.75" thickBot="1">
      <c r="A3" s="281"/>
      <c r="B3" s="341" t="s">
        <v>1135</v>
      </c>
      <c r="C3" s="283" t="s">
        <v>1015</v>
      </c>
      <c r="D3" s="283" t="s">
        <v>1016</v>
      </c>
      <c r="E3" s="283" t="s">
        <v>525</v>
      </c>
    </row>
    <row r="4" spans="1:5" ht="15">
      <c r="A4" s="251" t="s">
        <v>141</v>
      </c>
      <c r="B4" s="342">
        <v>7100</v>
      </c>
      <c r="C4" s="827">
        <f>SUM(C5:C6)</f>
        <v>100</v>
      </c>
      <c r="D4" s="827">
        <f>SUM(D5:D6)</f>
        <v>40</v>
      </c>
      <c r="E4" s="827">
        <f>SUM(E5:E6)</f>
        <v>20</v>
      </c>
    </row>
    <row r="5" spans="1:5" ht="15">
      <c r="A5" s="253" t="s">
        <v>1822</v>
      </c>
      <c r="B5" s="343">
        <v>7110</v>
      </c>
      <c r="C5" s="841">
        <v>50</v>
      </c>
      <c r="D5" s="841">
        <v>20</v>
      </c>
      <c r="E5" s="841">
        <v>10</v>
      </c>
    </row>
    <row r="6" spans="1:5" ht="16.5" customHeight="1" thickBot="1">
      <c r="A6" s="255" t="s">
        <v>1824</v>
      </c>
      <c r="B6" s="343">
        <v>7120</v>
      </c>
      <c r="C6" s="841">
        <v>50</v>
      </c>
      <c r="D6" s="841">
        <v>20</v>
      </c>
      <c r="E6" s="841">
        <v>10</v>
      </c>
    </row>
    <row r="7" spans="1:5" ht="15">
      <c r="A7" s="251" t="s">
        <v>1654</v>
      </c>
      <c r="B7" s="343">
        <v>7130</v>
      </c>
      <c r="C7" s="827">
        <f>SUM(C8:C12)</f>
        <v>200</v>
      </c>
      <c r="D7" s="827">
        <f>SUM(D8:D12)</f>
        <v>130</v>
      </c>
      <c r="E7" s="827">
        <f>SUM(E8:E12)</f>
        <v>90</v>
      </c>
    </row>
    <row r="8" spans="1:5" ht="15">
      <c r="A8" s="257" t="s">
        <v>1828</v>
      </c>
      <c r="B8" s="343">
        <v>7140</v>
      </c>
      <c r="C8" s="841">
        <v>40</v>
      </c>
      <c r="D8" s="841">
        <v>26</v>
      </c>
      <c r="E8" s="841">
        <v>18</v>
      </c>
    </row>
    <row r="9" spans="1:5" ht="15">
      <c r="A9" s="257" t="s">
        <v>1830</v>
      </c>
      <c r="B9" s="343">
        <v>7150</v>
      </c>
      <c r="C9" s="841">
        <v>40</v>
      </c>
      <c r="D9" s="841">
        <v>26</v>
      </c>
      <c r="E9" s="841">
        <v>18</v>
      </c>
    </row>
    <row r="10" spans="1:5" ht="15">
      <c r="A10" s="257" t="s">
        <v>1849</v>
      </c>
      <c r="B10" s="343">
        <v>7160</v>
      </c>
      <c r="C10" s="841">
        <v>40</v>
      </c>
      <c r="D10" s="841">
        <v>26</v>
      </c>
      <c r="E10" s="841">
        <v>18</v>
      </c>
    </row>
    <row r="11" spans="1:5" ht="15">
      <c r="A11" s="257" t="s">
        <v>1850</v>
      </c>
      <c r="B11" s="343">
        <v>7170</v>
      </c>
      <c r="C11" s="841">
        <v>40</v>
      </c>
      <c r="D11" s="841">
        <v>26</v>
      </c>
      <c r="E11" s="841">
        <v>18</v>
      </c>
    </row>
    <row r="12" spans="1:5" ht="15">
      <c r="A12" s="257" t="s">
        <v>1851</v>
      </c>
      <c r="B12" s="343">
        <v>7180</v>
      </c>
      <c r="C12" s="841">
        <v>40</v>
      </c>
      <c r="D12" s="841">
        <v>26</v>
      </c>
      <c r="E12" s="841">
        <v>18</v>
      </c>
    </row>
    <row r="13" spans="1:5" ht="15">
      <c r="A13" s="251" t="s">
        <v>1653</v>
      </c>
      <c r="B13" s="343">
        <v>7190</v>
      </c>
      <c r="C13" s="827">
        <f>SUM(C14:C18)</f>
        <v>200</v>
      </c>
      <c r="D13" s="827">
        <f>SUM(D14:D18)</f>
        <v>130</v>
      </c>
      <c r="E13" s="827">
        <f>SUM(E14:E18)</f>
        <v>90</v>
      </c>
    </row>
    <row r="14" spans="1:5" ht="15">
      <c r="A14" s="257" t="s">
        <v>1828</v>
      </c>
      <c r="B14" s="343">
        <v>7200</v>
      </c>
      <c r="C14" s="832">
        <v>40</v>
      </c>
      <c r="D14" s="841">
        <v>26</v>
      </c>
      <c r="E14" s="841">
        <v>18</v>
      </c>
    </row>
    <row r="15" spans="1:5" ht="15">
      <c r="A15" s="257" t="s">
        <v>1830</v>
      </c>
      <c r="B15" s="343">
        <v>7210</v>
      </c>
      <c r="C15" s="832">
        <v>40</v>
      </c>
      <c r="D15" s="841">
        <v>26</v>
      </c>
      <c r="E15" s="841">
        <v>18</v>
      </c>
    </row>
    <row r="16" spans="1:5" ht="15">
      <c r="A16" s="257" t="s">
        <v>1849</v>
      </c>
      <c r="B16" s="343">
        <v>7220</v>
      </c>
      <c r="C16" s="832">
        <v>40</v>
      </c>
      <c r="D16" s="841">
        <v>26</v>
      </c>
      <c r="E16" s="841">
        <v>18</v>
      </c>
    </row>
    <row r="17" spans="1:8" ht="15">
      <c r="A17" s="257" t="s">
        <v>1850</v>
      </c>
      <c r="B17" s="343">
        <v>7230</v>
      </c>
      <c r="C17" s="832">
        <v>40</v>
      </c>
      <c r="D17" s="841">
        <v>26</v>
      </c>
      <c r="E17" s="841">
        <v>18</v>
      </c>
    </row>
    <row r="18" spans="1:8" ht="15.75" thickBot="1">
      <c r="A18" s="257" t="s">
        <v>1851</v>
      </c>
      <c r="B18" s="343">
        <v>7240</v>
      </c>
      <c r="C18" s="856">
        <v>40</v>
      </c>
      <c r="D18" s="842">
        <v>26</v>
      </c>
      <c r="E18" s="842">
        <v>18</v>
      </c>
    </row>
    <row r="19" spans="1:8" ht="18" customHeight="1" thickBot="1">
      <c r="A19" s="285" t="s">
        <v>1059</v>
      </c>
      <c r="B19" s="246">
        <v>7999</v>
      </c>
      <c r="C19" s="1137">
        <f>SUM(C4,C7,C13)</f>
        <v>500</v>
      </c>
      <c r="D19" s="1138">
        <f>SUM(D4,D7,D13)</f>
        <v>300</v>
      </c>
      <c r="E19" s="1138">
        <f>SUM(E4,E7,E13)</f>
        <v>200</v>
      </c>
      <c r="F19" s="829">
        <f>'1.1'!F5</f>
        <v>500</v>
      </c>
      <c r="G19" s="829">
        <f>'1.1'!G5</f>
        <v>300</v>
      </c>
      <c r="H19" s="829">
        <f>'1.1'!H5</f>
        <v>200</v>
      </c>
    </row>
    <row r="20" spans="1:8" ht="15">
      <c r="A20" s="344"/>
      <c r="B20" s="344"/>
      <c r="C20" s="1197"/>
      <c r="D20" s="1197"/>
      <c r="E20" s="1197"/>
    </row>
    <row r="21" spans="1:8">
      <c r="A21" s="9"/>
    </row>
    <row r="22" spans="1:8" s="1139" customFormat="1" ht="13.5"/>
    <row r="23" spans="1:8" s="1139" customFormat="1" ht="14.25" customHeight="1">
      <c r="C23" s="1139">
        <v>370</v>
      </c>
      <c r="D23" s="1139" t="b">
        <f>C4=C5+C6</f>
        <v>1</v>
      </c>
      <c r="E23" s="1139" t="s">
        <v>1453</v>
      </c>
    </row>
    <row r="24" spans="1:8" s="1139" customFormat="1" ht="14.25" customHeight="1">
      <c r="C24" s="1139">
        <v>380</v>
      </c>
      <c r="D24" s="1139" t="b">
        <f>C7=SUM(C8:C12)</f>
        <v>1</v>
      </c>
      <c r="E24" s="1139" t="s">
        <v>1454</v>
      </c>
    </row>
    <row r="25" spans="1:8" s="1139" customFormat="1" ht="14.25" customHeight="1">
      <c r="C25" s="1139">
        <v>390</v>
      </c>
      <c r="D25" s="1139" t="b">
        <f>C13=SUM(C14:C18)</f>
        <v>1</v>
      </c>
      <c r="E25" s="1139" t="s">
        <v>1455</v>
      </c>
    </row>
    <row r="26" spans="1:8" s="1139" customFormat="1" ht="14.25" customHeight="1">
      <c r="C26" s="1139">
        <v>400</v>
      </c>
      <c r="D26" s="1139" t="b">
        <f>C19=C4+C7+C13</f>
        <v>1</v>
      </c>
      <c r="E26" s="1139" t="s">
        <v>1456</v>
      </c>
    </row>
    <row r="27" spans="1:8" s="1139" customFormat="1" ht="14.25" customHeight="1">
      <c r="C27" s="1139">
        <v>410</v>
      </c>
      <c r="D27" s="1139" t="b">
        <f>D4=D5+D6</f>
        <v>1</v>
      </c>
      <c r="E27" s="1139" t="s">
        <v>1457</v>
      </c>
    </row>
    <row r="28" spans="1:8" s="1139" customFormat="1" ht="14.25" customHeight="1">
      <c r="C28" s="1139">
        <v>420</v>
      </c>
      <c r="D28" s="1139" t="b">
        <f>D7=SUM(D8:D12)</f>
        <v>1</v>
      </c>
      <c r="E28" s="1139" t="s">
        <v>1458</v>
      </c>
    </row>
    <row r="29" spans="1:8" s="1139" customFormat="1" ht="14.25" customHeight="1">
      <c r="C29" s="1139">
        <v>430</v>
      </c>
      <c r="D29" s="1139" t="b">
        <f>D13=SUM(D14:D18)</f>
        <v>1</v>
      </c>
      <c r="E29" s="1139" t="s">
        <v>1459</v>
      </c>
    </row>
    <row r="30" spans="1:8" s="1139" customFormat="1" ht="14.25" customHeight="1">
      <c r="C30" s="1139">
        <v>440</v>
      </c>
      <c r="D30" s="1139" t="b">
        <f>D19=D4+D7+D13</f>
        <v>1</v>
      </c>
      <c r="E30" s="1139" t="s">
        <v>453</v>
      </c>
    </row>
    <row r="31" spans="1:8" s="1139" customFormat="1" ht="14.25" customHeight="1">
      <c r="C31" s="1139">
        <v>450</v>
      </c>
      <c r="D31" s="1139" t="b">
        <f>E4=E5+E6</f>
        <v>1</v>
      </c>
      <c r="E31" s="1139" t="s">
        <v>1460</v>
      </c>
    </row>
    <row r="32" spans="1:8" s="1139" customFormat="1" ht="14.25" customHeight="1">
      <c r="C32" s="1139">
        <v>460</v>
      </c>
      <c r="D32" s="1139" t="b">
        <f>E7=SUM(E8:E12)</f>
        <v>1</v>
      </c>
      <c r="E32" s="1139" t="s">
        <v>1461</v>
      </c>
    </row>
    <row r="33" spans="1:8" s="1139" customFormat="1" ht="14.25" customHeight="1">
      <c r="C33" s="1139">
        <v>470</v>
      </c>
      <c r="D33" s="1139" t="b">
        <f>E13=SUM(E14:E18)</f>
        <v>1</v>
      </c>
      <c r="E33" s="1139" t="s">
        <v>1462</v>
      </c>
    </row>
    <row r="34" spans="1:8" s="1139" customFormat="1" ht="14.25" customHeight="1">
      <c r="C34" s="1139">
        <v>480</v>
      </c>
      <c r="D34" s="1139" t="b">
        <f>E19=E4+E7+E13</f>
        <v>1</v>
      </c>
      <c r="E34" s="1139" t="s">
        <v>1463</v>
      </c>
    </row>
    <row r="35" spans="1:8" s="1139" customFormat="1" ht="13.5">
      <c r="A35" s="1135" t="s">
        <v>2969</v>
      </c>
      <c r="B35" s="1135"/>
      <c r="C35" s="1135">
        <v>490</v>
      </c>
      <c r="D35" s="1135" t="b">
        <f>C19='1.1'!F5</f>
        <v>1</v>
      </c>
      <c r="E35" s="1135" t="s">
        <v>2929</v>
      </c>
      <c r="F35" s="1135"/>
      <c r="G35" s="1135"/>
      <c r="H35" s="1135"/>
    </row>
    <row r="36" spans="1:8" s="1139" customFormat="1" ht="13.5">
      <c r="A36" s="1135" t="s">
        <v>2969</v>
      </c>
      <c r="B36" s="1135"/>
      <c r="C36" s="1135">
        <v>500</v>
      </c>
      <c r="D36" s="1135" t="b">
        <f>D19='1.1'!G5</f>
        <v>1</v>
      </c>
      <c r="E36" s="1135" t="s">
        <v>2930</v>
      </c>
      <c r="F36" s="1135"/>
      <c r="G36" s="1135"/>
      <c r="H36" s="1135"/>
    </row>
    <row r="37" spans="1:8" s="1139" customFormat="1" ht="13.5">
      <c r="A37" s="1135" t="s">
        <v>2969</v>
      </c>
      <c r="B37" s="1135"/>
      <c r="C37" s="1135">
        <v>510</v>
      </c>
      <c r="D37" s="1135" t="b">
        <f>E19='1.1'!H5</f>
        <v>1</v>
      </c>
      <c r="E37" s="1135" t="s">
        <v>2931</v>
      </c>
      <c r="F37" s="1135"/>
      <c r="G37" s="1135"/>
      <c r="H37" s="1135"/>
    </row>
    <row r="38" spans="1:8" s="1139" customFormat="1" ht="13.5"/>
    <row r="39" spans="1:8" s="1139" customFormat="1" ht="13.5"/>
    <row r="40" spans="1:8" s="1139" customFormat="1" ht="13.5"/>
    <row r="41" spans="1:8" s="1139" customFormat="1" ht="13.5"/>
    <row r="42" spans="1:8" s="1139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20:E20"/>
  </mergeCells>
  <phoneticPr fontId="8" type="noConversion"/>
  <pageMargins left="0.75" right="0.36" top="1" bottom="1" header="0.5" footer="0.5"/>
  <pageSetup paperSize="8" scale="196" orientation="landscape" r:id="rId4"/>
  <headerFooter alignWithMargins="0">
    <oddHeader>&amp;C6.B</oddHeader>
  </headerFooter>
  <rowBreaks count="1" manualBreakCount="1">
    <brk id="1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95"/>
  <sheetViews>
    <sheetView showGridLines="0" topLeftCell="A55" zoomScaleNormal="100" zoomScaleSheetLayoutView="100" workbookViewId="0">
      <selection activeCell="D92" sqref="D92"/>
    </sheetView>
  </sheetViews>
  <sheetFormatPr defaultRowHeight="12.75"/>
  <cols>
    <col min="1" max="1" width="42.7109375" customWidth="1"/>
    <col min="2" max="2" width="17.140625" customWidth="1"/>
    <col min="4" max="4" width="8.85546875" customWidth="1"/>
    <col min="5" max="5" width="10.28515625" customWidth="1"/>
    <col min="6" max="6" width="8.5703125" customWidth="1"/>
    <col min="8" max="8" width="10.5703125" customWidth="1"/>
    <col min="13" max="13" width="20.42578125" customWidth="1"/>
  </cols>
  <sheetData>
    <row r="1" spans="1:8" ht="16.5" thickBot="1">
      <c r="A1" s="242" t="s">
        <v>1414</v>
      </c>
      <c r="B1" s="279"/>
      <c r="C1" s="279"/>
      <c r="D1" s="279"/>
      <c r="E1" s="279"/>
      <c r="F1" s="279"/>
      <c r="G1" s="279"/>
      <c r="H1" s="279"/>
    </row>
    <row r="2" spans="1:8" ht="161.25" customHeight="1" thickBot="1">
      <c r="A2" s="338" t="s">
        <v>1853</v>
      </c>
      <c r="B2" s="271" t="s">
        <v>137</v>
      </c>
      <c r="C2" s="327"/>
      <c r="D2" s="271" t="s">
        <v>530</v>
      </c>
      <c r="E2" s="271" t="s">
        <v>531</v>
      </c>
      <c r="F2" s="356" t="s">
        <v>532</v>
      </c>
      <c r="G2" s="352"/>
      <c r="H2" s="353" t="s">
        <v>1888</v>
      </c>
    </row>
    <row r="3" spans="1:8" ht="15.75" thickBot="1">
      <c r="A3" s="346"/>
      <c r="B3" s="347"/>
      <c r="C3" s="348"/>
      <c r="D3" s="325" t="s">
        <v>740</v>
      </c>
      <c r="E3" s="326" t="s">
        <v>1410</v>
      </c>
      <c r="F3" s="326"/>
      <c r="G3" s="355"/>
      <c r="H3" s="325" t="s">
        <v>1411</v>
      </c>
    </row>
    <row r="4" spans="1:8" s="2" customFormat="1" ht="15.75" thickBot="1">
      <c r="A4" s="281"/>
      <c r="B4" s="349"/>
      <c r="C4" s="341" t="s">
        <v>1134</v>
      </c>
      <c r="D4" s="319" t="s">
        <v>1013</v>
      </c>
      <c r="E4" s="319" t="s">
        <v>1014</v>
      </c>
      <c r="F4" s="319" t="s">
        <v>1015</v>
      </c>
      <c r="G4" s="350"/>
      <c r="H4" s="354" t="s">
        <v>1016</v>
      </c>
    </row>
    <row r="5" spans="1:8" ht="15">
      <c r="A5" s="251" t="s">
        <v>1412</v>
      </c>
      <c r="B5" s="252" t="s">
        <v>1821</v>
      </c>
      <c r="C5" s="332">
        <v>7100</v>
      </c>
      <c r="D5" s="827">
        <f>SUM(D6:D8)</f>
        <v>225</v>
      </c>
      <c r="E5" s="827">
        <f>SUM(E6:E8)</f>
        <v>75</v>
      </c>
      <c r="F5" s="827">
        <f>SUM(F6:F8)</f>
        <v>300</v>
      </c>
      <c r="G5" s="337"/>
      <c r="H5" s="851">
        <f>SUM(H6:H8)</f>
        <v>42</v>
      </c>
    </row>
    <row r="6" spans="1:8" ht="15">
      <c r="A6" s="253" t="s">
        <v>1822</v>
      </c>
      <c r="B6" s="252" t="s">
        <v>1823</v>
      </c>
      <c r="C6" s="250">
        <v>7110</v>
      </c>
      <c r="D6" s="841">
        <v>75</v>
      </c>
      <c r="E6" s="841">
        <v>25</v>
      </c>
      <c r="F6" s="827">
        <f>SUM(D6:E6)</f>
        <v>100</v>
      </c>
      <c r="G6" s="337"/>
      <c r="H6" s="852">
        <v>14</v>
      </c>
    </row>
    <row r="7" spans="1:8" ht="15">
      <c r="A7" s="253" t="s">
        <v>1824</v>
      </c>
      <c r="B7" s="252" t="s">
        <v>1825</v>
      </c>
      <c r="C7" s="250">
        <v>7120</v>
      </c>
      <c r="D7" s="841">
        <v>75</v>
      </c>
      <c r="E7" s="841">
        <v>25</v>
      </c>
      <c r="F7" s="827">
        <f>SUM(D7:E7)</f>
        <v>100</v>
      </c>
      <c r="G7" s="337"/>
      <c r="H7" s="852">
        <v>14</v>
      </c>
    </row>
    <row r="8" spans="1:8" ht="15.75" thickBot="1">
      <c r="A8" s="255" t="s">
        <v>1826</v>
      </c>
      <c r="B8" s="256" t="s">
        <v>1413</v>
      </c>
      <c r="C8" s="250">
        <v>7130</v>
      </c>
      <c r="D8" s="841">
        <v>75</v>
      </c>
      <c r="E8" s="841">
        <v>25</v>
      </c>
      <c r="F8" s="827">
        <f>SUM(D8:E8)</f>
        <v>100</v>
      </c>
      <c r="G8" s="357"/>
      <c r="H8" s="852">
        <v>14</v>
      </c>
    </row>
    <row r="9" spans="1:8" ht="15">
      <c r="A9" s="251" t="s">
        <v>1654</v>
      </c>
      <c r="B9" s="252" t="s">
        <v>140</v>
      </c>
      <c r="C9" s="250">
        <v>7140</v>
      </c>
      <c r="D9" s="827">
        <f>SUM(D10:D14)</f>
        <v>250</v>
      </c>
      <c r="E9" s="827">
        <f>SUM(E10:E14)</f>
        <v>95</v>
      </c>
      <c r="F9" s="827">
        <f>SUM(F10:F14)</f>
        <v>345</v>
      </c>
      <c r="G9" s="337"/>
      <c r="H9" s="851">
        <f>SUM(H10:H14)</f>
        <v>50</v>
      </c>
    </row>
    <row r="10" spans="1:8" ht="15">
      <c r="A10" s="257" t="s">
        <v>1828</v>
      </c>
      <c r="B10" s="258" t="s">
        <v>1829</v>
      </c>
      <c r="C10" s="250">
        <v>7150</v>
      </c>
      <c r="D10" s="841">
        <v>50</v>
      </c>
      <c r="E10" s="841">
        <v>17</v>
      </c>
      <c r="F10" s="827">
        <f>SUM(D10:E10)</f>
        <v>67</v>
      </c>
      <c r="G10" s="337"/>
      <c r="H10" s="852">
        <v>10</v>
      </c>
    </row>
    <row r="11" spans="1:8" ht="15">
      <c r="A11" s="257" t="s">
        <v>1830</v>
      </c>
      <c r="B11" s="258" t="s">
        <v>1829</v>
      </c>
      <c r="C11" s="250">
        <v>7160</v>
      </c>
      <c r="D11" s="841">
        <v>50</v>
      </c>
      <c r="E11" s="841">
        <v>17</v>
      </c>
      <c r="F11" s="827">
        <f>SUM(D11:E11)</f>
        <v>67</v>
      </c>
      <c r="G11" s="337"/>
      <c r="H11" s="852">
        <v>10</v>
      </c>
    </row>
    <row r="12" spans="1:8" ht="15">
      <c r="A12" s="257" t="s">
        <v>1849</v>
      </c>
      <c r="B12" s="258" t="s">
        <v>1829</v>
      </c>
      <c r="C12" s="250">
        <v>7170</v>
      </c>
      <c r="D12" s="841">
        <v>50</v>
      </c>
      <c r="E12" s="841">
        <v>17</v>
      </c>
      <c r="F12" s="827">
        <f>SUM(D12:E12)</f>
        <v>67</v>
      </c>
      <c r="G12" s="337"/>
      <c r="H12" s="852">
        <v>10</v>
      </c>
    </row>
    <row r="13" spans="1:8" ht="15">
      <c r="A13" s="257" t="s">
        <v>1850</v>
      </c>
      <c r="B13" s="258" t="s">
        <v>1829</v>
      </c>
      <c r="C13" s="250">
        <v>7180</v>
      </c>
      <c r="D13" s="841">
        <v>50</v>
      </c>
      <c r="E13" s="841">
        <v>22</v>
      </c>
      <c r="F13" s="827">
        <f>SUM(D13:E13)</f>
        <v>72</v>
      </c>
      <c r="G13" s="337"/>
      <c r="H13" s="852">
        <v>10</v>
      </c>
    </row>
    <row r="14" spans="1:8" ht="15">
      <c r="A14" s="257" t="s">
        <v>1851</v>
      </c>
      <c r="B14" s="258" t="s">
        <v>1829</v>
      </c>
      <c r="C14" s="250">
        <v>7190</v>
      </c>
      <c r="D14" s="841">
        <v>50</v>
      </c>
      <c r="E14" s="841">
        <v>22</v>
      </c>
      <c r="F14" s="827">
        <f>SUM(D14:E14)</f>
        <v>72</v>
      </c>
      <c r="G14" s="337"/>
      <c r="H14" s="852">
        <v>10</v>
      </c>
    </row>
    <row r="15" spans="1:8" ht="15">
      <c r="A15" s="251" t="s">
        <v>1653</v>
      </c>
      <c r="B15" s="252" t="s">
        <v>140</v>
      </c>
      <c r="C15" s="250">
        <v>7200</v>
      </c>
      <c r="D15" s="827">
        <f>SUM(D16:D20)</f>
        <v>250</v>
      </c>
      <c r="E15" s="827">
        <f>SUM(E16:E20)</f>
        <v>105</v>
      </c>
      <c r="F15" s="827">
        <f>SUM(F16:F20)</f>
        <v>355</v>
      </c>
      <c r="G15" s="337"/>
      <c r="H15" s="851">
        <f>SUM(H16:H20)</f>
        <v>50</v>
      </c>
    </row>
    <row r="16" spans="1:8" ht="15">
      <c r="A16" s="257" t="s">
        <v>1828</v>
      </c>
      <c r="B16" s="258" t="s">
        <v>1829</v>
      </c>
      <c r="C16" s="250">
        <v>7210</v>
      </c>
      <c r="D16" s="841">
        <v>50</v>
      </c>
      <c r="E16" s="841">
        <v>21</v>
      </c>
      <c r="F16" s="827">
        <f>SUM(D16:E16)</f>
        <v>71</v>
      </c>
      <c r="G16" s="337"/>
      <c r="H16" s="852">
        <v>10</v>
      </c>
    </row>
    <row r="17" spans="1:9" ht="15">
      <c r="A17" s="257" t="s">
        <v>1830</v>
      </c>
      <c r="B17" s="258" t="s">
        <v>1829</v>
      </c>
      <c r="C17" s="250">
        <v>7220</v>
      </c>
      <c r="D17" s="841">
        <v>50</v>
      </c>
      <c r="E17" s="841">
        <v>21</v>
      </c>
      <c r="F17" s="827">
        <f>SUM(D17:E17)</f>
        <v>71</v>
      </c>
      <c r="G17" s="337"/>
      <c r="H17" s="852">
        <v>10</v>
      </c>
    </row>
    <row r="18" spans="1:9" ht="15">
      <c r="A18" s="257" t="s">
        <v>1849</v>
      </c>
      <c r="B18" s="258" t="s">
        <v>1829</v>
      </c>
      <c r="C18" s="250">
        <v>7230</v>
      </c>
      <c r="D18" s="841">
        <v>50</v>
      </c>
      <c r="E18" s="841">
        <v>21</v>
      </c>
      <c r="F18" s="827">
        <f>SUM(D18:E18)</f>
        <v>71</v>
      </c>
      <c r="G18" s="337"/>
      <c r="H18" s="852">
        <v>10</v>
      </c>
    </row>
    <row r="19" spans="1:9" ht="15">
      <c r="A19" s="257" t="s">
        <v>1850</v>
      </c>
      <c r="B19" s="258" t="s">
        <v>1829</v>
      </c>
      <c r="C19" s="250">
        <v>7240</v>
      </c>
      <c r="D19" s="841">
        <v>50</v>
      </c>
      <c r="E19" s="841">
        <v>21</v>
      </c>
      <c r="F19" s="827">
        <f>SUM(D19:E19)</f>
        <v>71</v>
      </c>
      <c r="G19" s="337"/>
      <c r="H19" s="852">
        <v>10</v>
      </c>
    </row>
    <row r="20" spans="1:9" ht="15.75" thickBot="1">
      <c r="A20" s="257" t="s">
        <v>1851</v>
      </c>
      <c r="B20" s="258" t="s">
        <v>1829</v>
      </c>
      <c r="C20" s="250">
        <v>7250</v>
      </c>
      <c r="D20" s="842">
        <v>50</v>
      </c>
      <c r="E20" s="842">
        <v>21</v>
      </c>
      <c r="F20" s="847">
        <f>SUM(D20:E20)</f>
        <v>71</v>
      </c>
      <c r="G20" s="337"/>
      <c r="H20" s="852">
        <v>10</v>
      </c>
    </row>
    <row r="21" spans="1:9" ht="15.75" thickBot="1">
      <c r="A21" s="251" t="s">
        <v>1652</v>
      </c>
      <c r="B21" s="258"/>
      <c r="C21" s="306">
        <v>7800</v>
      </c>
      <c r="D21" s="848"/>
      <c r="E21" s="848"/>
      <c r="F21" s="849">
        <v>0</v>
      </c>
      <c r="G21" s="337"/>
      <c r="H21" s="853"/>
    </row>
    <row r="22" spans="1:9" ht="15.75" thickBot="1">
      <c r="A22" s="285" t="s">
        <v>1059</v>
      </c>
      <c r="B22" s="351"/>
      <c r="C22" s="316">
        <v>7999</v>
      </c>
      <c r="D22" s="850">
        <f t="shared" ref="D22:E22" si="0">SUM(D5,D9,D15)</f>
        <v>725</v>
      </c>
      <c r="E22" s="850">
        <f t="shared" si="0"/>
        <v>275</v>
      </c>
      <c r="F22" s="850">
        <f>SUM(F5,F9,F15)</f>
        <v>1000</v>
      </c>
      <c r="G22" s="854">
        <f>F22-'1.1'!E6</f>
        <v>0</v>
      </c>
      <c r="H22" s="850">
        <f>SUM(H5,H9,H15)</f>
        <v>142</v>
      </c>
    </row>
    <row r="23" spans="1:9" ht="15.75">
      <c r="A23" s="25"/>
      <c r="B23" s="1194"/>
      <c r="C23" s="1194"/>
      <c r="D23" s="1194"/>
      <c r="E23" s="1194"/>
      <c r="F23" s="1194"/>
      <c r="G23" s="1194"/>
      <c r="H23" s="1194"/>
      <c r="I23" s="9"/>
    </row>
    <row r="24" spans="1:9">
      <c r="A24" s="9"/>
    </row>
    <row r="25" spans="1:9">
      <c r="A25" s="9"/>
    </row>
    <row r="26" spans="1:9" s="1139" customFormat="1" ht="13.5">
      <c r="C26" s="1139">
        <v>10</v>
      </c>
      <c r="D26" s="1139" t="b">
        <f t="shared" ref="D26:D41" si="1">F5=D5+E5</f>
        <v>1</v>
      </c>
      <c r="E26" s="1139" t="s">
        <v>1464</v>
      </c>
    </row>
    <row r="27" spans="1:9" s="1139" customFormat="1" ht="13.5">
      <c r="C27" s="1139">
        <v>20</v>
      </c>
      <c r="D27" s="1139" t="b">
        <f t="shared" si="1"/>
        <v>1</v>
      </c>
      <c r="E27" s="1139" t="s">
        <v>1465</v>
      </c>
    </row>
    <row r="28" spans="1:9" s="1139" customFormat="1" ht="13.5">
      <c r="C28" s="1139">
        <v>30</v>
      </c>
      <c r="D28" s="1139" t="b">
        <f t="shared" si="1"/>
        <v>1</v>
      </c>
      <c r="E28" s="1139" t="s">
        <v>1466</v>
      </c>
    </row>
    <row r="29" spans="1:9" s="1139" customFormat="1" ht="13.5">
      <c r="C29" s="1139">
        <v>40</v>
      </c>
      <c r="D29" s="1139" t="b">
        <f t="shared" si="1"/>
        <v>1</v>
      </c>
      <c r="E29" s="1139" t="s">
        <v>1467</v>
      </c>
    </row>
    <row r="30" spans="1:9" s="1139" customFormat="1" ht="13.5">
      <c r="C30" s="1139">
        <v>50</v>
      </c>
      <c r="D30" s="1139" t="b">
        <f t="shared" si="1"/>
        <v>1</v>
      </c>
      <c r="E30" s="1139" t="s">
        <v>1468</v>
      </c>
    </row>
    <row r="31" spans="1:9" s="1139" customFormat="1" ht="13.5">
      <c r="C31" s="1139">
        <v>60</v>
      </c>
      <c r="D31" s="1139" t="b">
        <f t="shared" si="1"/>
        <v>1</v>
      </c>
      <c r="E31" s="1139" t="s">
        <v>1469</v>
      </c>
    </row>
    <row r="32" spans="1:9" s="1139" customFormat="1" ht="13.5">
      <c r="C32" s="1139">
        <v>70</v>
      </c>
      <c r="D32" s="1139" t="b">
        <f t="shared" si="1"/>
        <v>1</v>
      </c>
      <c r="E32" s="1139" t="s">
        <v>2874</v>
      </c>
    </row>
    <row r="33" spans="1:9" s="1139" customFormat="1" ht="13.5">
      <c r="C33" s="1139">
        <v>80</v>
      </c>
      <c r="D33" s="1139" t="b">
        <f t="shared" si="1"/>
        <v>1</v>
      </c>
      <c r="E33" s="1139" t="s">
        <v>2875</v>
      </c>
    </row>
    <row r="34" spans="1:9" s="1139" customFormat="1" ht="13.5">
      <c r="C34" s="1139">
        <v>90</v>
      </c>
      <c r="D34" s="1139" t="b">
        <f t="shared" si="1"/>
        <v>1</v>
      </c>
      <c r="E34" s="1139" t="s">
        <v>2876</v>
      </c>
    </row>
    <row r="35" spans="1:9" s="1139" customFormat="1" ht="13.5">
      <c r="C35" s="1139">
        <v>100</v>
      </c>
      <c r="D35" s="1139" t="b">
        <f t="shared" si="1"/>
        <v>1</v>
      </c>
      <c r="E35" s="1139" t="s">
        <v>2877</v>
      </c>
    </row>
    <row r="36" spans="1:9" s="1139" customFormat="1" ht="13.5">
      <c r="C36" s="1139">
        <v>110</v>
      </c>
      <c r="D36" s="1139" t="b">
        <f t="shared" si="1"/>
        <v>1</v>
      </c>
      <c r="E36" s="1139" t="s">
        <v>2878</v>
      </c>
    </row>
    <row r="37" spans="1:9" s="1139" customFormat="1" ht="13.5">
      <c r="C37" s="1139">
        <v>120</v>
      </c>
      <c r="D37" s="1139" t="b">
        <f t="shared" si="1"/>
        <v>1</v>
      </c>
      <c r="E37" s="1139" t="s">
        <v>2879</v>
      </c>
    </row>
    <row r="38" spans="1:9" s="1139" customFormat="1" ht="13.5">
      <c r="C38" s="1139">
        <v>130</v>
      </c>
      <c r="D38" s="1139" t="b">
        <f t="shared" si="1"/>
        <v>1</v>
      </c>
      <c r="E38" s="1139" t="s">
        <v>2880</v>
      </c>
    </row>
    <row r="39" spans="1:9" s="1139" customFormat="1" ht="13.5">
      <c r="C39" s="1139">
        <v>140</v>
      </c>
      <c r="D39" s="1139" t="b">
        <f t="shared" si="1"/>
        <v>1</v>
      </c>
      <c r="E39" s="1139" t="s">
        <v>2881</v>
      </c>
    </row>
    <row r="40" spans="1:9" s="1139" customFormat="1" ht="13.5">
      <c r="C40" s="1139">
        <v>150</v>
      </c>
      <c r="D40" s="1139" t="b">
        <f t="shared" si="1"/>
        <v>1</v>
      </c>
      <c r="E40" s="1139" t="s">
        <v>2882</v>
      </c>
    </row>
    <row r="41" spans="1:9" s="1139" customFormat="1" ht="13.5">
      <c r="C41" s="1139">
        <v>160</v>
      </c>
      <c r="D41" s="1139" t="b">
        <f t="shared" si="1"/>
        <v>1</v>
      </c>
      <c r="E41" s="1139" t="s">
        <v>2883</v>
      </c>
    </row>
    <row r="42" spans="1:9" s="1139" customFormat="1" ht="13.5">
      <c r="A42" s="1135" t="s">
        <v>2969</v>
      </c>
      <c r="B42" s="1135"/>
      <c r="C42" s="1135">
        <v>170</v>
      </c>
      <c r="D42" s="1135" t="b">
        <f>F22=D22+E22</f>
        <v>1</v>
      </c>
      <c r="E42" s="1135" t="s">
        <v>2944</v>
      </c>
      <c r="F42" s="1135"/>
      <c r="G42" s="1135"/>
      <c r="H42" s="1135"/>
      <c r="I42" s="1135"/>
    </row>
    <row r="43" spans="1:9" s="1139" customFormat="1" ht="13.5">
      <c r="C43" s="1139">
        <v>180</v>
      </c>
      <c r="D43" s="1139" t="b">
        <f>D5=D6+D7+D8</f>
        <v>1</v>
      </c>
      <c r="E43" s="1139" t="s">
        <v>2884</v>
      </c>
    </row>
    <row r="44" spans="1:9" s="1139" customFormat="1" ht="13.5">
      <c r="C44" s="1139">
        <v>190</v>
      </c>
      <c r="D44" s="1139" t="b">
        <f>D9=SUM(D10:D14)</f>
        <v>1</v>
      </c>
      <c r="E44" s="1139" t="s">
        <v>2885</v>
      </c>
    </row>
    <row r="45" spans="1:9" s="1139" customFormat="1" ht="13.5">
      <c r="C45" s="1139">
        <v>200</v>
      </c>
      <c r="D45" s="1139" t="b">
        <f>D15=SUM(D16:D20)</f>
        <v>1</v>
      </c>
      <c r="E45" s="1139" t="s">
        <v>2886</v>
      </c>
    </row>
    <row r="46" spans="1:9" s="1139" customFormat="1" ht="13.5">
      <c r="C46" s="1139">
        <v>210</v>
      </c>
      <c r="D46" s="1139" t="b">
        <f>E5=E6+E7+E8</f>
        <v>1</v>
      </c>
      <c r="E46" s="1139" t="s">
        <v>2887</v>
      </c>
    </row>
    <row r="47" spans="1:9" s="1139" customFormat="1" ht="13.5">
      <c r="C47" s="1139">
        <v>220</v>
      </c>
      <c r="D47" s="1139" t="b">
        <f>E9=SUM(E10:E14)</f>
        <v>1</v>
      </c>
      <c r="E47" s="1139" t="s">
        <v>2888</v>
      </c>
    </row>
    <row r="48" spans="1:9" s="1139" customFormat="1" ht="13.5">
      <c r="C48" s="1139">
        <v>230</v>
      </c>
      <c r="D48" s="1139" t="b">
        <f>E15=SUM(E16:E20)</f>
        <v>1</v>
      </c>
      <c r="E48" s="1139" t="s">
        <v>2889</v>
      </c>
    </row>
    <row r="49" spans="3:5" s="1139" customFormat="1" ht="13.5">
      <c r="C49" s="1139">
        <v>240</v>
      </c>
      <c r="D49" s="1139" t="b">
        <f>F5=F6+F7+F8</f>
        <v>1</v>
      </c>
      <c r="E49" s="1139" t="s">
        <v>2911</v>
      </c>
    </row>
    <row r="50" spans="3:5" s="1139" customFormat="1" ht="13.5">
      <c r="C50" s="1139">
        <v>250</v>
      </c>
      <c r="D50" s="1139" t="b">
        <f>F9=SUM(F10:F14)</f>
        <v>1</v>
      </c>
      <c r="E50" s="1139" t="s">
        <v>2890</v>
      </c>
    </row>
    <row r="51" spans="3:5" s="1139" customFormat="1" ht="13.5">
      <c r="C51" s="1139">
        <v>260</v>
      </c>
      <c r="D51" s="1139" t="b">
        <f>F15=SUM(F16:F20)</f>
        <v>1</v>
      </c>
      <c r="E51" s="1139" t="s">
        <v>2891</v>
      </c>
    </row>
    <row r="52" spans="3:5" s="1139" customFormat="1" ht="13.5">
      <c r="C52" s="1139">
        <v>270</v>
      </c>
      <c r="D52" s="1139" t="b">
        <f>H5=H6+H7+H8</f>
        <v>1</v>
      </c>
      <c r="E52" s="1139" t="s">
        <v>2912</v>
      </c>
    </row>
    <row r="53" spans="3:5" s="1139" customFormat="1" ht="13.5">
      <c r="C53" s="1139">
        <v>280</v>
      </c>
      <c r="D53" s="1139" t="b">
        <f>H9=SUM(H10:H14)</f>
        <v>1</v>
      </c>
      <c r="E53" s="1139" t="s">
        <v>2892</v>
      </c>
    </row>
    <row r="54" spans="3:5" s="1139" customFormat="1" ht="13.5">
      <c r="C54" s="1139">
        <v>290</v>
      </c>
      <c r="D54" s="1139" t="b">
        <f>H15=SUM(H16:H20)</f>
        <v>1</v>
      </c>
      <c r="E54" s="1139" t="s">
        <v>2893</v>
      </c>
    </row>
    <row r="55" spans="3:5" s="1139" customFormat="1" ht="13.5">
      <c r="C55" s="1139">
        <v>300</v>
      </c>
      <c r="D55" s="1139" t="b">
        <f>F5='7.b'!C4+'7.b'!D4+'7.b'!E4</f>
        <v>1</v>
      </c>
      <c r="E55" s="1139" t="s">
        <v>2894</v>
      </c>
    </row>
    <row r="56" spans="3:5" s="1139" customFormat="1" ht="13.5">
      <c r="C56" s="1139">
        <v>310</v>
      </c>
      <c r="D56" s="1139" t="b">
        <f>F6='7.b'!C5+'7.b'!D5+'7.b'!E5</f>
        <v>1</v>
      </c>
      <c r="E56" s="1139" t="s">
        <v>2895</v>
      </c>
    </row>
    <row r="57" spans="3:5" s="1139" customFormat="1" ht="13.5">
      <c r="C57" s="1139">
        <v>320</v>
      </c>
      <c r="D57" s="1139" t="b">
        <f>F7='7.b'!C6+'7.b'!D6+'7.b'!E6</f>
        <v>1</v>
      </c>
      <c r="E57" s="1139" t="s">
        <v>2896</v>
      </c>
    </row>
    <row r="58" spans="3:5" s="1139" customFormat="1" ht="13.5">
      <c r="C58" s="1139">
        <v>330</v>
      </c>
      <c r="D58" s="1139" t="b">
        <f>F8='7.b'!C7+'7.b'!D7+'7.b'!E7</f>
        <v>1</v>
      </c>
      <c r="E58" s="1139" t="s">
        <v>2897</v>
      </c>
    </row>
    <row r="59" spans="3:5" s="1139" customFormat="1" ht="13.5">
      <c r="C59" s="1139">
        <v>340</v>
      </c>
      <c r="D59" s="1139" t="b">
        <f>F9='7.b'!C8+'7.b'!D8+'7.b'!E8</f>
        <v>1</v>
      </c>
      <c r="E59" s="1139" t="s">
        <v>2898</v>
      </c>
    </row>
    <row r="60" spans="3:5" s="1139" customFormat="1" ht="13.5">
      <c r="C60" s="1139">
        <v>350</v>
      </c>
      <c r="D60" s="1139" t="b">
        <f>F10='7.b'!C9+'7.b'!D9+'7.b'!E9</f>
        <v>1</v>
      </c>
      <c r="E60" s="1139" t="s">
        <v>2899</v>
      </c>
    </row>
    <row r="61" spans="3:5" s="1139" customFormat="1" ht="13.5">
      <c r="C61" s="1139">
        <v>360</v>
      </c>
      <c r="D61" s="1139" t="b">
        <f>F11='7.b'!C10+'7.b'!D10+'7.b'!E10</f>
        <v>1</v>
      </c>
      <c r="E61" s="1139" t="s">
        <v>2900</v>
      </c>
    </row>
    <row r="62" spans="3:5" s="1139" customFormat="1" ht="13.5">
      <c r="C62" s="1139">
        <v>370</v>
      </c>
      <c r="D62" s="1139" t="b">
        <f>F12='7.b'!C11+'7.b'!D11+'7.b'!E11</f>
        <v>1</v>
      </c>
      <c r="E62" s="1139" t="s">
        <v>2901</v>
      </c>
    </row>
    <row r="63" spans="3:5" s="1139" customFormat="1" ht="13.5">
      <c r="C63" s="1139">
        <v>380</v>
      </c>
      <c r="D63" s="1139" t="b">
        <f>F13='7.b'!C12+'7.b'!D12+'7.b'!E12</f>
        <v>1</v>
      </c>
      <c r="E63" s="1139" t="s">
        <v>451</v>
      </c>
    </row>
    <row r="64" spans="3:5" s="1139" customFormat="1" ht="13.5">
      <c r="C64" s="1139">
        <v>390</v>
      </c>
      <c r="D64" s="1139" t="b">
        <f>F14='7.b'!C13+'7.b'!D13+'7.b'!E13</f>
        <v>1</v>
      </c>
      <c r="E64" s="1139" t="s">
        <v>2902</v>
      </c>
    </row>
    <row r="65" spans="1:11" s="1139" customFormat="1" ht="13.5">
      <c r="C65" s="1139">
        <v>400</v>
      </c>
      <c r="D65" s="1139" t="b">
        <f>F15='7.b'!C14+'7.b'!D14+'7.b'!E14</f>
        <v>1</v>
      </c>
      <c r="E65" s="1139" t="s">
        <v>2903</v>
      </c>
    </row>
    <row r="66" spans="1:11" s="1139" customFormat="1" ht="13.5">
      <c r="C66" s="1139">
        <v>410</v>
      </c>
      <c r="D66" s="1139" t="b">
        <f>F16='7.b'!C15+'7.b'!D15+'7.b'!E15</f>
        <v>1</v>
      </c>
      <c r="E66" s="1139" t="s">
        <v>2904</v>
      </c>
    </row>
    <row r="67" spans="1:11" s="1139" customFormat="1" ht="13.5">
      <c r="C67" s="1139">
        <v>420</v>
      </c>
      <c r="D67" s="1139" t="b">
        <f>F17='7.b'!C16+'7.b'!D16+'7.b'!E16</f>
        <v>1</v>
      </c>
      <c r="E67" s="1139" t="s">
        <v>1529</v>
      </c>
    </row>
    <row r="68" spans="1:11" s="1139" customFormat="1" ht="13.5">
      <c r="C68" s="1139">
        <v>430</v>
      </c>
      <c r="D68" s="1139" t="b">
        <f>F18='7.b'!C17+'7.b'!D17+'7.b'!E17</f>
        <v>1</v>
      </c>
      <c r="E68" s="1139" t="s">
        <v>1530</v>
      </c>
    </row>
    <row r="69" spans="1:11" s="1139" customFormat="1" ht="13.5">
      <c r="C69" s="1139">
        <v>440</v>
      </c>
      <c r="D69" s="1139" t="b">
        <f>F19='7.b'!C18+'7.b'!D18+'7.b'!E18</f>
        <v>1</v>
      </c>
      <c r="E69" s="1139" t="s">
        <v>1531</v>
      </c>
    </row>
    <row r="70" spans="1:11" s="1139" customFormat="1" ht="13.5">
      <c r="C70" s="1139">
        <v>450</v>
      </c>
      <c r="D70" s="1139" t="b">
        <f>F20='7.b'!C19+'7.b'!D19+'7.b'!E19</f>
        <v>1</v>
      </c>
      <c r="E70" s="1139" t="s">
        <v>1532</v>
      </c>
    </row>
    <row r="71" spans="1:11" s="1139" customFormat="1" ht="13.5">
      <c r="A71" s="1135" t="s">
        <v>2969</v>
      </c>
      <c r="B71" s="1135"/>
      <c r="C71" s="1135">
        <v>460</v>
      </c>
      <c r="D71" s="1135" t="b">
        <f>F22='7.b'!C20+'7.b'!D20+'7.b'!E20</f>
        <v>1</v>
      </c>
      <c r="E71" s="1135" t="s">
        <v>2933</v>
      </c>
      <c r="F71" s="1135"/>
      <c r="G71" s="1135"/>
      <c r="H71" s="1135"/>
      <c r="I71" s="1135"/>
      <c r="J71" s="1135"/>
      <c r="K71" s="1135"/>
    </row>
    <row r="72" spans="1:11" s="1139" customFormat="1" ht="13.5">
      <c r="C72" s="1139">
        <v>470</v>
      </c>
      <c r="D72" s="1139" t="b">
        <f>IF(E5,TRUE,FALSE)=IF(H5,TRUE,FALSE)</f>
        <v>1</v>
      </c>
      <c r="E72" s="1139" t="s">
        <v>1533</v>
      </c>
    </row>
    <row r="73" spans="1:11" s="1139" customFormat="1" ht="13.5">
      <c r="C73" s="1139">
        <v>480</v>
      </c>
      <c r="D73" s="1139" t="b">
        <f t="shared" ref="D73:D87" si="2">IF(E6,TRUE,FALSE)=IF(H6,TRUE,FALSE)</f>
        <v>1</v>
      </c>
      <c r="E73" s="1139" t="s">
        <v>1534</v>
      </c>
    </row>
    <row r="74" spans="1:11" s="1139" customFormat="1" ht="13.5">
      <c r="C74" s="1139">
        <v>490</v>
      </c>
      <c r="D74" s="1139" t="b">
        <f t="shared" si="2"/>
        <v>1</v>
      </c>
      <c r="E74" s="1139" t="s">
        <v>1535</v>
      </c>
    </row>
    <row r="75" spans="1:11" s="1139" customFormat="1" ht="13.5">
      <c r="C75" s="1139">
        <v>500</v>
      </c>
      <c r="D75" s="1139" t="b">
        <f t="shared" si="2"/>
        <v>1</v>
      </c>
      <c r="E75" s="1139" t="s">
        <v>1536</v>
      </c>
    </row>
    <row r="76" spans="1:11" s="1139" customFormat="1" ht="13.5">
      <c r="C76" s="1139">
        <v>510</v>
      </c>
      <c r="D76" s="1139" t="b">
        <f t="shared" si="2"/>
        <v>1</v>
      </c>
      <c r="E76" s="1139" t="s">
        <v>1537</v>
      </c>
    </row>
    <row r="77" spans="1:11" s="1139" customFormat="1" ht="13.5">
      <c r="C77" s="1139">
        <v>520</v>
      </c>
      <c r="D77" s="1139" t="b">
        <f t="shared" si="2"/>
        <v>1</v>
      </c>
      <c r="E77" s="1139" t="s">
        <v>1538</v>
      </c>
    </row>
    <row r="78" spans="1:11" s="1139" customFormat="1" ht="13.5">
      <c r="C78" s="1139">
        <v>530</v>
      </c>
      <c r="D78" s="1139" t="b">
        <f t="shared" si="2"/>
        <v>1</v>
      </c>
      <c r="E78" s="1139" t="s">
        <v>1539</v>
      </c>
    </row>
    <row r="79" spans="1:11" s="1139" customFormat="1" ht="13.5">
      <c r="C79" s="1139">
        <v>540</v>
      </c>
      <c r="D79" s="1139" t="b">
        <f t="shared" si="2"/>
        <v>1</v>
      </c>
      <c r="E79" s="1139" t="s">
        <v>1540</v>
      </c>
    </row>
    <row r="80" spans="1:11" s="1139" customFormat="1" ht="13.5">
      <c r="C80" s="1139">
        <v>550</v>
      </c>
      <c r="D80" s="1139" t="b">
        <f t="shared" si="2"/>
        <v>1</v>
      </c>
      <c r="E80" s="1139" t="s">
        <v>1541</v>
      </c>
    </row>
    <row r="81" spans="1:11" s="1139" customFormat="1" ht="13.5">
      <c r="C81" s="1139">
        <v>560</v>
      </c>
      <c r="D81" s="1139" t="b">
        <f t="shared" si="2"/>
        <v>1</v>
      </c>
      <c r="E81" s="1139" t="s">
        <v>1542</v>
      </c>
    </row>
    <row r="82" spans="1:11" s="1139" customFormat="1" ht="13.5">
      <c r="C82" s="1139">
        <v>570</v>
      </c>
      <c r="D82" s="1139" t="b">
        <f t="shared" si="2"/>
        <v>1</v>
      </c>
      <c r="E82" s="1139" t="s">
        <v>1543</v>
      </c>
    </row>
    <row r="83" spans="1:11" s="1139" customFormat="1" ht="13.5">
      <c r="C83" s="1139">
        <v>580</v>
      </c>
      <c r="D83" s="1139" t="b">
        <f t="shared" si="2"/>
        <v>1</v>
      </c>
      <c r="E83" s="1139" t="s">
        <v>1544</v>
      </c>
    </row>
    <row r="84" spans="1:11" s="1139" customFormat="1" ht="13.5">
      <c r="C84" s="1139">
        <v>590</v>
      </c>
      <c r="D84" s="1139" t="b">
        <f t="shared" si="2"/>
        <v>1</v>
      </c>
      <c r="E84" s="1139" t="s">
        <v>1545</v>
      </c>
    </row>
    <row r="85" spans="1:11" s="1139" customFormat="1" ht="13.5">
      <c r="C85" s="1139">
        <v>600</v>
      </c>
      <c r="D85" s="1139" t="b">
        <f t="shared" si="2"/>
        <v>1</v>
      </c>
      <c r="E85" s="1139" t="s">
        <v>1546</v>
      </c>
    </row>
    <row r="86" spans="1:11" s="1139" customFormat="1" ht="13.5">
      <c r="C86" s="1139">
        <v>610</v>
      </c>
      <c r="D86" s="1139" t="b">
        <f t="shared" si="2"/>
        <v>1</v>
      </c>
      <c r="E86" s="1139" t="s">
        <v>1547</v>
      </c>
    </row>
    <row r="87" spans="1:11" s="1139" customFormat="1" ht="13.5">
      <c r="C87" s="1139">
        <v>620</v>
      </c>
      <c r="D87" s="1139" t="b">
        <f t="shared" si="2"/>
        <v>1</v>
      </c>
      <c r="E87" s="1139" t="s">
        <v>1548</v>
      </c>
    </row>
    <row r="88" spans="1:11" s="1139" customFormat="1" ht="13.5">
      <c r="C88" s="1139">
        <v>630</v>
      </c>
      <c r="D88" s="1139" t="b">
        <f>IF(E22,TRUE,FALSE)=IF(H22,TRUE,FALSE)</f>
        <v>1</v>
      </c>
      <c r="E88" s="1139" t="s">
        <v>1549</v>
      </c>
    </row>
    <row r="89" spans="1:11" s="1139" customFormat="1" ht="16.5" customHeight="1">
      <c r="C89" s="1139">
        <v>640</v>
      </c>
      <c r="D89" s="1139" t="b">
        <f>H22=H5+H9+H15</f>
        <v>1</v>
      </c>
      <c r="E89" s="1139" t="s">
        <v>1550</v>
      </c>
    </row>
    <row r="90" spans="1:11" s="1139" customFormat="1" ht="16.5" customHeight="1">
      <c r="C90" s="1139">
        <v>650</v>
      </c>
      <c r="D90" s="1139" t="b">
        <f>D22=D5+D9+D15</f>
        <v>1</v>
      </c>
      <c r="E90" s="1139" t="s">
        <v>1551</v>
      </c>
    </row>
    <row r="91" spans="1:11" s="1139" customFormat="1" ht="16.5" customHeight="1">
      <c r="C91" s="1139">
        <v>660</v>
      </c>
      <c r="D91" s="1139" t="b">
        <f>E22=E5+E9+E15</f>
        <v>1</v>
      </c>
      <c r="E91" s="1139" t="s">
        <v>1552</v>
      </c>
    </row>
    <row r="92" spans="1:11" s="1139" customFormat="1" ht="16.5" customHeight="1">
      <c r="A92" s="1135" t="s">
        <v>2969</v>
      </c>
      <c r="B92" s="1135"/>
      <c r="C92" s="1135">
        <v>670</v>
      </c>
      <c r="D92" s="1135" t="b">
        <f>F22=F5+F9+F15</f>
        <v>1</v>
      </c>
      <c r="E92" s="1135" t="s">
        <v>2942</v>
      </c>
      <c r="F92" s="1135"/>
      <c r="G92" s="1135"/>
      <c r="H92" s="1135"/>
      <c r="I92" s="1135"/>
      <c r="J92" s="1135"/>
      <c r="K92" s="1135"/>
    </row>
    <row r="93" spans="1:11" s="1139" customFormat="1" ht="16.5" customHeight="1">
      <c r="C93" s="1139">
        <v>680</v>
      </c>
      <c r="D93" s="1139" t="b">
        <f>F22='1.1'!E6</f>
        <v>1</v>
      </c>
      <c r="E93" s="1139" t="s">
        <v>1553</v>
      </c>
    </row>
    <row r="94" spans="1:11" s="1139" customFormat="1" ht="13.5">
      <c r="A94" s="1135" t="s">
        <v>2969</v>
      </c>
      <c r="B94" s="1135"/>
      <c r="C94" s="1135">
        <v>690</v>
      </c>
      <c r="D94" s="1135" t="b">
        <f>F21=0</f>
        <v>1</v>
      </c>
      <c r="E94" s="1135" t="s">
        <v>2932</v>
      </c>
      <c r="F94" s="1135"/>
      <c r="G94" s="1135"/>
      <c r="H94" s="1135"/>
      <c r="I94" s="1135"/>
    </row>
    <row r="95" spans="1:11" s="1139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B23:H23"/>
  </mergeCells>
  <phoneticPr fontId="0" type="noConversion"/>
  <pageMargins left="0.26" right="0.44" top="1" bottom="1" header="0.5" footer="0.5"/>
  <pageSetup paperSize="8" scale="120" orientation="landscape" r:id="rId4"/>
  <headerFooter alignWithMargins="0">
    <oddHeader>&amp;C7.A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Normal="100" zoomScaleSheetLayoutView="100" workbookViewId="0"/>
  </sheetViews>
  <sheetFormatPr defaultRowHeight="12.75"/>
  <cols>
    <col min="1" max="1" width="29.7109375" customWidth="1"/>
    <col min="2" max="2" width="8.85546875" customWidth="1"/>
    <col min="3" max="3" width="8.140625" customWidth="1"/>
    <col min="4" max="4" width="8.28515625" customWidth="1"/>
    <col min="5" max="5" width="8.140625" customWidth="1"/>
    <col min="11" max="11" width="26.85546875" customWidth="1"/>
  </cols>
  <sheetData>
    <row r="1" spans="1:5" ht="16.5" thickBot="1">
      <c r="A1" s="242" t="s">
        <v>1414</v>
      </c>
      <c r="B1" s="278"/>
      <c r="C1" s="279"/>
      <c r="D1" s="279"/>
      <c r="E1" s="279"/>
    </row>
    <row r="2" spans="1:5" ht="94.5" customHeight="1" thickBot="1">
      <c r="A2" s="277" t="s">
        <v>1855</v>
      </c>
      <c r="B2" s="340"/>
      <c r="C2" s="271" t="s">
        <v>2205</v>
      </c>
      <c r="D2" s="271" t="s">
        <v>2206</v>
      </c>
      <c r="E2" s="271" t="s">
        <v>1854</v>
      </c>
    </row>
    <row r="3" spans="1:5" s="2" customFormat="1" ht="15.75" thickBot="1">
      <c r="A3" s="358"/>
      <c r="B3" s="359" t="s">
        <v>1135</v>
      </c>
      <c r="C3" s="247" t="s">
        <v>525</v>
      </c>
      <c r="D3" s="247" t="s">
        <v>526</v>
      </c>
      <c r="E3" s="247" t="s">
        <v>1415</v>
      </c>
    </row>
    <row r="4" spans="1:5" ht="15">
      <c r="A4" s="251" t="s">
        <v>1412</v>
      </c>
      <c r="B4" s="342">
        <v>7100</v>
      </c>
      <c r="C4" s="833">
        <f>SUM(C5:C7)</f>
        <v>165</v>
      </c>
      <c r="D4" s="833">
        <f>SUM(D5:D7)</f>
        <v>90</v>
      </c>
      <c r="E4" s="833">
        <f>SUM(E5:E7)</f>
        <v>45</v>
      </c>
    </row>
    <row r="5" spans="1:5" ht="15">
      <c r="A5" s="253" t="s">
        <v>1822</v>
      </c>
      <c r="B5" s="360">
        <v>7110</v>
      </c>
      <c r="C5" s="832">
        <v>55</v>
      </c>
      <c r="D5" s="832">
        <v>30</v>
      </c>
      <c r="E5" s="832">
        <v>15</v>
      </c>
    </row>
    <row r="6" spans="1:5" ht="30">
      <c r="A6" s="253" t="s">
        <v>1824</v>
      </c>
      <c r="B6" s="360">
        <v>7120</v>
      </c>
      <c r="C6" s="832">
        <v>55</v>
      </c>
      <c r="D6" s="832">
        <v>30</v>
      </c>
      <c r="E6" s="832">
        <v>15</v>
      </c>
    </row>
    <row r="7" spans="1:5" ht="15.75" thickBot="1">
      <c r="A7" s="255" t="s">
        <v>1826</v>
      </c>
      <c r="B7" s="360">
        <v>7130</v>
      </c>
      <c r="C7" s="830">
        <v>55</v>
      </c>
      <c r="D7" s="830">
        <v>30</v>
      </c>
      <c r="E7" s="830">
        <v>15</v>
      </c>
    </row>
    <row r="8" spans="1:5" ht="15">
      <c r="A8" s="251" t="s">
        <v>1654</v>
      </c>
      <c r="B8" s="360">
        <v>7140</v>
      </c>
      <c r="C8" s="833">
        <f>SUM(C9:C13)</f>
        <v>160</v>
      </c>
      <c r="D8" s="833">
        <f>SUM(D9:D13)</f>
        <v>105</v>
      </c>
      <c r="E8" s="833">
        <f>SUM(E9:E13)</f>
        <v>80</v>
      </c>
    </row>
    <row r="9" spans="1:5" ht="15">
      <c r="A9" s="257" t="s">
        <v>1828</v>
      </c>
      <c r="B9" s="360">
        <v>7150</v>
      </c>
      <c r="C9" s="832">
        <v>30</v>
      </c>
      <c r="D9" s="832">
        <v>21</v>
      </c>
      <c r="E9" s="832">
        <v>16</v>
      </c>
    </row>
    <row r="10" spans="1:5" ht="15">
      <c r="A10" s="257" t="s">
        <v>1830</v>
      </c>
      <c r="B10" s="360">
        <v>7160</v>
      </c>
      <c r="C10" s="832">
        <v>30</v>
      </c>
      <c r="D10" s="832">
        <v>21</v>
      </c>
      <c r="E10" s="832">
        <v>16</v>
      </c>
    </row>
    <row r="11" spans="1:5" ht="15">
      <c r="A11" s="257" t="s">
        <v>1849</v>
      </c>
      <c r="B11" s="360">
        <v>7170</v>
      </c>
      <c r="C11" s="832">
        <v>30</v>
      </c>
      <c r="D11" s="832">
        <v>21</v>
      </c>
      <c r="E11" s="832">
        <v>16</v>
      </c>
    </row>
    <row r="12" spans="1:5" ht="15">
      <c r="A12" s="257" t="s">
        <v>1850</v>
      </c>
      <c r="B12" s="360">
        <v>7180</v>
      </c>
      <c r="C12" s="832">
        <v>35</v>
      </c>
      <c r="D12" s="832">
        <v>21</v>
      </c>
      <c r="E12" s="832">
        <v>16</v>
      </c>
    </row>
    <row r="13" spans="1:5" ht="15.75" thickBot="1">
      <c r="A13" s="257" t="s">
        <v>1851</v>
      </c>
      <c r="B13" s="360">
        <v>7190</v>
      </c>
      <c r="C13" s="830">
        <v>35</v>
      </c>
      <c r="D13" s="832">
        <v>21</v>
      </c>
      <c r="E13" s="832">
        <v>16</v>
      </c>
    </row>
    <row r="14" spans="1:5" ht="15">
      <c r="A14" s="251" t="s">
        <v>1653</v>
      </c>
      <c r="B14" s="360">
        <v>7200</v>
      </c>
      <c r="C14" s="833">
        <f>SUM(C15:C19)</f>
        <v>175</v>
      </c>
      <c r="D14" s="833">
        <f>SUM(D15:D19)</f>
        <v>105</v>
      </c>
      <c r="E14" s="833">
        <f>SUM(E15:E19)</f>
        <v>75</v>
      </c>
    </row>
    <row r="15" spans="1:5" ht="15">
      <c r="A15" s="257" t="s">
        <v>1828</v>
      </c>
      <c r="B15" s="360">
        <v>7210</v>
      </c>
      <c r="C15" s="832">
        <v>35</v>
      </c>
      <c r="D15" s="832">
        <v>21</v>
      </c>
      <c r="E15" s="832">
        <v>15</v>
      </c>
    </row>
    <row r="16" spans="1:5" ht="15">
      <c r="A16" s="257" t="s">
        <v>1830</v>
      </c>
      <c r="B16" s="360">
        <v>7220</v>
      </c>
      <c r="C16" s="832">
        <v>35</v>
      </c>
      <c r="D16" s="832">
        <v>21</v>
      </c>
      <c r="E16" s="832">
        <v>15</v>
      </c>
    </row>
    <row r="17" spans="1:8" ht="15">
      <c r="A17" s="257" t="s">
        <v>1849</v>
      </c>
      <c r="B17" s="360">
        <v>7230</v>
      </c>
      <c r="C17" s="832">
        <v>35</v>
      </c>
      <c r="D17" s="832">
        <v>21</v>
      </c>
      <c r="E17" s="832">
        <v>15</v>
      </c>
    </row>
    <row r="18" spans="1:8" ht="15">
      <c r="A18" s="257" t="s">
        <v>1850</v>
      </c>
      <c r="B18" s="360">
        <v>7240</v>
      </c>
      <c r="C18" s="832">
        <v>35</v>
      </c>
      <c r="D18" s="832">
        <v>21</v>
      </c>
      <c r="E18" s="832">
        <v>15</v>
      </c>
    </row>
    <row r="19" spans="1:8" ht="15.75" thickBot="1">
      <c r="A19" s="257" t="s">
        <v>1851</v>
      </c>
      <c r="B19" s="360">
        <v>7250</v>
      </c>
      <c r="C19" s="830">
        <v>35</v>
      </c>
      <c r="D19" s="832">
        <v>21</v>
      </c>
      <c r="E19" s="830">
        <v>15</v>
      </c>
    </row>
    <row r="20" spans="1:8" ht="15.75" thickBot="1">
      <c r="A20" s="285" t="s">
        <v>1059</v>
      </c>
      <c r="B20" s="246">
        <v>7999</v>
      </c>
      <c r="C20" s="855">
        <f>SUM(C4,C8,C14)</f>
        <v>500</v>
      </c>
      <c r="D20" s="855">
        <f>SUM(D4,D8,D14)</f>
        <v>300</v>
      </c>
      <c r="E20" s="855">
        <f>SUM(E4,E8,E14)</f>
        <v>200</v>
      </c>
      <c r="F20" s="829">
        <f>'1.1'!F6</f>
        <v>500</v>
      </c>
      <c r="G20" s="829">
        <f>'1.1'!G6</f>
        <v>300</v>
      </c>
      <c r="H20" s="829">
        <f>'1.1'!H6</f>
        <v>200</v>
      </c>
    </row>
    <row r="21" spans="1:8" ht="15">
      <c r="A21" s="361"/>
      <c r="B21" s="361"/>
      <c r="C21" s="1197"/>
      <c r="D21" s="1197"/>
      <c r="E21" s="1197"/>
    </row>
    <row r="22" spans="1:8">
      <c r="A22" s="9"/>
    </row>
    <row r="23" spans="1:8" s="1139" customFormat="1" ht="13.5">
      <c r="C23" s="1139">
        <v>690</v>
      </c>
      <c r="D23" s="1139" t="b">
        <f>C4=SUM(C5:C7)</f>
        <v>1</v>
      </c>
      <c r="E23" s="1139" t="s">
        <v>1724</v>
      </c>
    </row>
    <row r="24" spans="1:8" s="1139" customFormat="1" ht="13.5">
      <c r="C24" s="1139">
        <v>700</v>
      </c>
      <c r="D24" s="1139" t="b">
        <f>D4=SUM(D5:D7)</f>
        <v>1</v>
      </c>
      <c r="E24" s="1139" t="s">
        <v>1725</v>
      </c>
    </row>
    <row r="25" spans="1:8" s="1139" customFormat="1" ht="13.5">
      <c r="C25" s="1139">
        <v>710</v>
      </c>
      <c r="D25" s="1139" t="b">
        <f>E4=SUM(E5:E7)</f>
        <v>1</v>
      </c>
      <c r="E25" s="1139" t="s">
        <v>1726</v>
      </c>
    </row>
    <row r="26" spans="1:8" s="1139" customFormat="1" ht="13.5">
      <c r="C26" s="1139">
        <v>720</v>
      </c>
      <c r="D26" s="1139" t="b">
        <f>C8=SUM(C9:C13)</f>
        <v>1</v>
      </c>
      <c r="E26" s="1139" t="s">
        <v>1727</v>
      </c>
    </row>
    <row r="27" spans="1:8" s="1139" customFormat="1" ht="13.5">
      <c r="C27" s="1139">
        <v>730</v>
      </c>
      <c r="D27" s="1139" t="b">
        <f>D8=SUM(D9:D13)</f>
        <v>1</v>
      </c>
      <c r="E27" s="1139" t="s">
        <v>1728</v>
      </c>
    </row>
    <row r="28" spans="1:8" s="1139" customFormat="1" ht="13.5">
      <c r="C28" s="1139">
        <v>740</v>
      </c>
      <c r="D28" s="1139" t="b">
        <f>E8=SUM(E9:E13)</f>
        <v>1</v>
      </c>
      <c r="E28" s="1139" t="s">
        <v>1729</v>
      </c>
    </row>
    <row r="29" spans="1:8" s="1139" customFormat="1" ht="13.5">
      <c r="C29" s="1139">
        <v>750</v>
      </c>
      <c r="D29" s="1139" t="b">
        <f>C14=SUM(C15:C19)</f>
        <v>1</v>
      </c>
      <c r="E29" s="1139" t="s">
        <v>1730</v>
      </c>
    </row>
    <row r="30" spans="1:8" s="1139" customFormat="1" ht="13.5">
      <c r="C30" s="1139">
        <v>760</v>
      </c>
      <c r="D30" s="1139" t="b">
        <f>D14=SUM(D15:D19)</f>
        <v>1</v>
      </c>
      <c r="E30" s="1139" t="s">
        <v>2388</v>
      </c>
    </row>
    <row r="31" spans="1:8" s="1139" customFormat="1" ht="13.5">
      <c r="C31" s="1139">
        <v>770</v>
      </c>
      <c r="D31" s="1139" t="b">
        <f>E14=SUM(E15:E19)</f>
        <v>1</v>
      </c>
      <c r="E31" s="1139" t="s">
        <v>2389</v>
      </c>
    </row>
    <row r="32" spans="1:8" s="1139" customFormat="1" ht="13.5">
      <c r="C32" s="1139">
        <v>780</v>
      </c>
      <c r="D32" s="1139" t="b">
        <f>C20=C4+C8+C14</f>
        <v>1</v>
      </c>
      <c r="E32" s="1139" t="s">
        <v>2390</v>
      </c>
    </row>
    <row r="33" spans="1:8" s="1139" customFormat="1" ht="13.5">
      <c r="C33" s="1139">
        <v>790</v>
      </c>
      <c r="D33" s="1139" t="b">
        <f>D20=D4+D8+D14</f>
        <v>1</v>
      </c>
      <c r="E33" s="1139" t="s">
        <v>2391</v>
      </c>
    </row>
    <row r="34" spans="1:8" s="1139" customFormat="1" ht="13.5">
      <c r="C34" s="1139">
        <v>800</v>
      </c>
      <c r="D34" s="1139" t="b">
        <f>E20=E4+E8+E14</f>
        <v>1</v>
      </c>
      <c r="E34" s="1139" t="s">
        <v>2392</v>
      </c>
    </row>
    <row r="35" spans="1:8" s="1139" customFormat="1" ht="13.5">
      <c r="A35" s="1135" t="s">
        <v>2969</v>
      </c>
      <c r="B35" s="1135"/>
      <c r="C35" s="1135">
        <v>810</v>
      </c>
      <c r="D35" s="1135" t="b">
        <f>C20='1.1'!F6</f>
        <v>1</v>
      </c>
      <c r="E35" s="1135" t="s">
        <v>2936</v>
      </c>
      <c r="F35" s="1135"/>
      <c r="G35" s="1135"/>
      <c r="H35" s="1135"/>
    </row>
    <row r="36" spans="1:8" s="1139" customFormat="1" ht="13.5">
      <c r="A36" s="1135" t="s">
        <v>2969</v>
      </c>
      <c r="B36" s="1135"/>
      <c r="C36" s="1135">
        <v>820</v>
      </c>
      <c r="D36" s="1135" t="b">
        <f>D20='1.1'!G6</f>
        <v>1</v>
      </c>
      <c r="E36" s="1135" t="s">
        <v>2935</v>
      </c>
      <c r="F36" s="1135"/>
      <c r="G36" s="1135"/>
      <c r="H36" s="1135"/>
    </row>
    <row r="37" spans="1:8" s="1139" customFormat="1" ht="13.5">
      <c r="A37" s="1135" t="s">
        <v>2969</v>
      </c>
      <c r="B37" s="1135"/>
      <c r="C37" s="1135">
        <v>830</v>
      </c>
      <c r="D37" s="1135" t="b">
        <f>E20='1.1'!H6</f>
        <v>1</v>
      </c>
      <c r="E37" s="1135" t="s">
        <v>2934</v>
      </c>
      <c r="F37" s="1135"/>
      <c r="G37" s="1135"/>
      <c r="H37" s="1135"/>
    </row>
    <row r="38" spans="1:8" s="1139" customFormat="1" ht="13.5"/>
    <row r="39" spans="1:8" ht="13.5">
      <c r="A39" s="1134"/>
    </row>
    <row r="40" spans="1:8" ht="13.5">
      <c r="A40" s="1134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C28" sqref="C2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21:E21"/>
  </mergeCells>
  <phoneticPr fontId="8" type="noConversion"/>
  <pageMargins left="0.75" right="0.75" top="1" bottom="1" header="0.5" footer="0.5"/>
  <pageSetup paperSize="8" scale="178" orientation="landscape" r:id="rId4"/>
  <headerFooter alignWithMargins="0">
    <oddHeader>&amp;C7. B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Normal="100" zoomScaleSheetLayoutView="100" workbookViewId="0"/>
  </sheetViews>
  <sheetFormatPr defaultRowHeight="12.75"/>
  <cols>
    <col min="1" max="1" width="42.28515625" customWidth="1"/>
    <col min="4" max="4" width="10" customWidth="1"/>
    <col min="5" max="5" width="10.42578125" customWidth="1"/>
    <col min="6" max="6" width="12.140625" customWidth="1"/>
    <col min="7" max="7" width="11.42578125" customWidth="1"/>
    <col min="10" max="10" width="46" customWidth="1"/>
    <col min="11" max="11" width="27.7109375" customWidth="1"/>
    <col min="13" max="13" width="21.5703125" customWidth="1"/>
  </cols>
  <sheetData>
    <row r="1" spans="1:8" ht="16.5" thickBot="1">
      <c r="A1" s="242" t="s">
        <v>1426</v>
      </c>
      <c r="B1" s="279"/>
      <c r="C1" s="279"/>
      <c r="D1" s="278"/>
      <c r="E1" s="279"/>
      <c r="F1" s="279"/>
      <c r="G1" s="279"/>
      <c r="H1" s="279"/>
    </row>
    <row r="2" spans="1:8" ht="153" customHeight="1" thickBot="1">
      <c r="A2" s="374" t="s">
        <v>1853</v>
      </c>
      <c r="B2" s="271" t="s">
        <v>137</v>
      </c>
      <c r="C2" s="375"/>
      <c r="D2" s="378" t="s">
        <v>1416</v>
      </c>
      <c r="E2" s="379" t="s">
        <v>1427</v>
      </c>
      <c r="F2" s="378" t="s">
        <v>1417</v>
      </c>
      <c r="G2" s="378" t="s">
        <v>1418</v>
      </c>
      <c r="H2" s="356" t="s">
        <v>1419</v>
      </c>
    </row>
    <row r="3" spans="1:8" ht="65.25" customHeight="1" thickBot="1">
      <c r="A3" s="365"/>
      <c r="B3" s="376"/>
      <c r="C3" s="376"/>
      <c r="D3" s="380" t="s">
        <v>740</v>
      </c>
      <c r="E3" s="380" t="s">
        <v>1420</v>
      </c>
      <c r="F3" s="362" t="s">
        <v>1421</v>
      </c>
      <c r="G3" s="362" t="s">
        <v>1422</v>
      </c>
      <c r="H3" s="377"/>
    </row>
    <row r="4" spans="1:8" s="2" customFormat="1" ht="15.75" thickBot="1">
      <c r="A4" s="281"/>
      <c r="B4" s="369"/>
      <c r="C4" s="282" t="s">
        <v>1134</v>
      </c>
      <c r="D4" s="247" t="s">
        <v>1013</v>
      </c>
      <c r="E4" s="370" t="s">
        <v>1014</v>
      </c>
      <c r="F4" s="371" t="s">
        <v>1015</v>
      </c>
      <c r="G4" s="247" t="s">
        <v>1016</v>
      </c>
      <c r="H4" s="247" t="s">
        <v>525</v>
      </c>
    </row>
    <row r="5" spans="1:8" ht="16.5" customHeight="1">
      <c r="A5" s="251" t="s">
        <v>1655</v>
      </c>
      <c r="B5" s="252" t="s">
        <v>1423</v>
      </c>
      <c r="C5" s="332">
        <v>7100</v>
      </c>
      <c r="D5" s="833">
        <f>SUM(D6:D10)</f>
        <v>300</v>
      </c>
      <c r="E5" s="833">
        <f>SUM(E6:E10)</f>
        <v>300</v>
      </c>
      <c r="F5" s="833">
        <f>SUM(F6:F10)</f>
        <v>50</v>
      </c>
      <c r="G5" s="833">
        <f>SUM(G6:G10)</f>
        <v>50</v>
      </c>
      <c r="H5" s="833">
        <f>SUM(H6:H10)</f>
        <v>500</v>
      </c>
    </row>
    <row r="6" spans="1:8" ht="15">
      <c r="A6" s="257" t="s">
        <v>1828</v>
      </c>
      <c r="B6" s="258" t="s">
        <v>1829</v>
      </c>
      <c r="C6" s="250">
        <v>7110</v>
      </c>
      <c r="D6" s="832">
        <v>60</v>
      </c>
      <c r="E6" s="832">
        <v>60</v>
      </c>
      <c r="F6" s="832">
        <v>10</v>
      </c>
      <c r="G6" s="832">
        <v>10</v>
      </c>
      <c r="H6" s="832">
        <f>D6+E6-F6-G6</f>
        <v>100</v>
      </c>
    </row>
    <row r="7" spans="1:8" ht="15">
      <c r="A7" s="257" t="s">
        <v>1830</v>
      </c>
      <c r="B7" s="258" t="s">
        <v>1424</v>
      </c>
      <c r="C7" s="250">
        <v>7120</v>
      </c>
      <c r="D7" s="832">
        <v>60</v>
      </c>
      <c r="E7" s="832">
        <v>60</v>
      </c>
      <c r="F7" s="832">
        <v>10</v>
      </c>
      <c r="G7" s="832">
        <v>10</v>
      </c>
      <c r="H7" s="832">
        <f t="shared" ref="H7:H10" si="0">D7+E7-F7-G7</f>
        <v>100</v>
      </c>
    </row>
    <row r="8" spans="1:8" ht="15">
      <c r="A8" s="257" t="s">
        <v>1849</v>
      </c>
      <c r="B8" s="258" t="s">
        <v>1424</v>
      </c>
      <c r="C8" s="250">
        <v>7130</v>
      </c>
      <c r="D8" s="832">
        <v>60</v>
      </c>
      <c r="E8" s="832">
        <v>60</v>
      </c>
      <c r="F8" s="832">
        <v>10</v>
      </c>
      <c r="G8" s="832">
        <v>10</v>
      </c>
      <c r="H8" s="832">
        <f t="shared" si="0"/>
        <v>100</v>
      </c>
    </row>
    <row r="9" spans="1:8" ht="15">
      <c r="A9" s="257" t="s">
        <v>1425</v>
      </c>
      <c r="B9" s="258" t="s">
        <v>1424</v>
      </c>
      <c r="C9" s="250">
        <v>7140</v>
      </c>
      <c r="D9" s="832">
        <v>60</v>
      </c>
      <c r="E9" s="832">
        <v>60</v>
      </c>
      <c r="F9" s="832">
        <v>10</v>
      </c>
      <c r="G9" s="832">
        <v>10</v>
      </c>
      <c r="H9" s="832">
        <f t="shared" si="0"/>
        <v>100</v>
      </c>
    </row>
    <row r="10" spans="1:8" ht="15">
      <c r="A10" s="257" t="s">
        <v>1851</v>
      </c>
      <c r="B10" s="258" t="s">
        <v>1424</v>
      </c>
      <c r="C10" s="250">
        <v>7150</v>
      </c>
      <c r="D10" s="832">
        <v>60</v>
      </c>
      <c r="E10" s="832">
        <v>60</v>
      </c>
      <c r="F10" s="832">
        <v>10</v>
      </c>
      <c r="G10" s="832">
        <v>10</v>
      </c>
      <c r="H10" s="832">
        <f t="shared" si="0"/>
        <v>100</v>
      </c>
    </row>
    <row r="11" spans="1:8" ht="15">
      <c r="A11" s="251" t="s">
        <v>1653</v>
      </c>
      <c r="B11" s="252" t="s">
        <v>140</v>
      </c>
      <c r="C11" s="250">
        <v>7160</v>
      </c>
      <c r="D11" s="833">
        <f>SUM(D12:D16)</f>
        <v>300</v>
      </c>
      <c r="E11" s="833">
        <f>SUM(E12:E16)</f>
        <v>300</v>
      </c>
      <c r="F11" s="833">
        <f>SUM(F12:F16)</f>
        <v>50</v>
      </c>
      <c r="G11" s="833">
        <f>SUM(G12:G16)</f>
        <v>50</v>
      </c>
      <c r="H11" s="833">
        <f>SUM(H12:H16)</f>
        <v>500</v>
      </c>
    </row>
    <row r="12" spans="1:8" ht="15">
      <c r="A12" s="257" t="s">
        <v>1828</v>
      </c>
      <c r="B12" s="258" t="s">
        <v>1829</v>
      </c>
      <c r="C12" s="250">
        <v>7170</v>
      </c>
      <c r="D12" s="832">
        <v>60</v>
      </c>
      <c r="E12" s="832">
        <v>60</v>
      </c>
      <c r="F12" s="832">
        <v>10</v>
      </c>
      <c r="G12" s="832">
        <v>10</v>
      </c>
      <c r="H12" s="832">
        <f t="shared" ref="H12:H16" si="1">D12+E12-F12-G12</f>
        <v>100</v>
      </c>
    </row>
    <row r="13" spans="1:8" ht="15">
      <c r="A13" s="257" t="s">
        <v>1830</v>
      </c>
      <c r="B13" s="258" t="s">
        <v>1424</v>
      </c>
      <c r="C13" s="250">
        <v>7180</v>
      </c>
      <c r="D13" s="832">
        <v>60</v>
      </c>
      <c r="E13" s="832">
        <v>60</v>
      </c>
      <c r="F13" s="832">
        <v>10</v>
      </c>
      <c r="G13" s="832">
        <v>10</v>
      </c>
      <c r="H13" s="832">
        <f t="shared" si="1"/>
        <v>100</v>
      </c>
    </row>
    <row r="14" spans="1:8" ht="15">
      <c r="A14" s="257" t="s">
        <v>1849</v>
      </c>
      <c r="B14" s="258" t="s">
        <v>1424</v>
      </c>
      <c r="C14" s="250">
        <v>7190</v>
      </c>
      <c r="D14" s="832">
        <v>60</v>
      </c>
      <c r="E14" s="832">
        <v>60</v>
      </c>
      <c r="F14" s="832">
        <v>10</v>
      </c>
      <c r="G14" s="832">
        <v>10</v>
      </c>
      <c r="H14" s="832">
        <f t="shared" si="1"/>
        <v>100</v>
      </c>
    </row>
    <row r="15" spans="1:8" ht="15">
      <c r="A15" s="257" t="s">
        <v>1850</v>
      </c>
      <c r="B15" s="258" t="s">
        <v>1424</v>
      </c>
      <c r="C15" s="250">
        <v>7200</v>
      </c>
      <c r="D15" s="832">
        <v>60</v>
      </c>
      <c r="E15" s="832">
        <v>60</v>
      </c>
      <c r="F15" s="832">
        <v>10</v>
      </c>
      <c r="G15" s="832">
        <v>10</v>
      </c>
      <c r="H15" s="832">
        <f t="shared" si="1"/>
        <v>100</v>
      </c>
    </row>
    <row r="16" spans="1:8" ht="15.75" thickBot="1">
      <c r="A16" s="257" t="s">
        <v>1851</v>
      </c>
      <c r="B16" s="258" t="s">
        <v>1424</v>
      </c>
      <c r="C16" s="250">
        <v>7210</v>
      </c>
      <c r="D16" s="832">
        <v>60</v>
      </c>
      <c r="E16" s="832">
        <v>60</v>
      </c>
      <c r="F16" s="832">
        <v>10</v>
      </c>
      <c r="G16" s="832">
        <v>10</v>
      </c>
      <c r="H16" s="832">
        <f t="shared" si="1"/>
        <v>100</v>
      </c>
    </row>
    <row r="17" spans="1:10" ht="15.75" thickBot="1">
      <c r="A17" s="251" t="s">
        <v>1652</v>
      </c>
      <c r="B17" s="258"/>
      <c r="C17" s="273">
        <v>7250</v>
      </c>
      <c r="D17" s="857"/>
      <c r="E17" s="858"/>
      <c r="F17" s="858"/>
      <c r="G17" s="859"/>
      <c r="H17" s="860">
        <v>0</v>
      </c>
    </row>
    <row r="18" spans="1:10" ht="15.75" thickBot="1">
      <c r="A18" s="285" t="s">
        <v>1059</v>
      </c>
      <c r="B18" s="256"/>
      <c r="C18" s="373">
        <v>7299</v>
      </c>
      <c r="D18" s="861">
        <f>SUM(D5,D11)</f>
        <v>600</v>
      </c>
      <c r="E18" s="861">
        <f>SUM(E5,E11)</f>
        <v>600</v>
      </c>
      <c r="F18" s="861">
        <f>SUM(F5,F11)</f>
        <v>100</v>
      </c>
      <c r="G18" s="861">
        <f>SUM(G5,G11)</f>
        <v>100</v>
      </c>
      <c r="H18" s="862">
        <f>SUM(H5,H11)</f>
        <v>1000</v>
      </c>
      <c r="I18" s="863">
        <f>H18-'1.1'!E7</f>
        <v>0</v>
      </c>
    </row>
    <row r="19" spans="1:10" ht="15.75">
      <c r="A19" s="1198"/>
      <c r="B19" s="1198"/>
      <c r="C19" s="1198"/>
      <c r="D19" s="1199"/>
      <c r="E19" s="1199"/>
      <c r="F19" s="1194"/>
      <c r="G19" s="1194"/>
      <c r="H19" s="1194"/>
    </row>
    <row r="20" spans="1:10">
      <c r="A20" s="9"/>
    </row>
    <row r="21" spans="1:10">
      <c r="A21" s="9"/>
    </row>
    <row r="22" spans="1:10" s="1134" customFormat="1" ht="16.5">
      <c r="A22" s="1139"/>
      <c r="B22" s="33"/>
      <c r="C22" s="27">
        <v>10</v>
      </c>
      <c r="D22" s="28" t="b">
        <f t="shared" ref="D22:D33" si="2">H5=D5+E5-F5-G5</f>
        <v>1</v>
      </c>
      <c r="E22" s="38" t="s">
        <v>2393</v>
      </c>
      <c r="F22" s="1165"/>
      <c r="G22" s="1165"/>
      <c r="H22" s="1165"/>
      <c r="I22" s="1174"/>
      <c r="J22" s="1174"/>
    </row>
    <row r="23" spans="1:10" s="1134" customFormat="1" ht="16.5">
      <c r="A23" s="1139"/>
      <c r="B23" s="33"/>
      <c r="C23" s="27">
        <v>20</v>
      </c>
      <c r="D23" s="28" t="b">
        <f t="shared" si="2"/>
        <v>1</v>
      </c>
      <c r="E23" s="38" t="s">
        <v>2394</v>
      </c>
      <c r="F23" s="1165"/>
      <c r="G23" s="1165"/>
      <c r="H23" s="1165"/>
      <c r="I23" s="1174"/>
      <c r="J23" s="1174"/>
    </row>
    <row r="24" spans="1:10" s="1134" customFormat="1" ht="16.5">
      <c r="A24" s="1139"/>
      <c r="B24" s="33"/>
      <c r="C24" s="27">
        <v>30</v>
      </c>
      <c r="D24" s="28" t="b">
        <f t="shared" si="2"/>
        <v>1</v>
      </c>
      <c r="E24" s="38" t="s">
        <v>2395</v>
      </c>
      <c r="F24" s="1165"/>
      <c r="G24" s="1165"/>
      <c r="H24" s="1165"/>
      <c r="I24" s="1174"/>
      <c r="J24" s="1174"/>
    </row>
    <row r="25" spans="1:10" s="1134" customFormat="1" ht="16.5">
      <c r="A25" s="1139"/>
      <c r="B25" s="33"/>
      <c r="C25" s="27">
        <v>40</v>
      </c>
      <c r="D25" s="28" t="b">
        <f t="shared" si="2"/>
        <v>1</v>
      </c>
      <c r="E25" s="38" t="s">
        <v>2396</v>
      </c>
      <c r="F25" s="1165"/>
      <c r="G25" s="1165"/>
      <c r="H25" s="1165"/>
      <c r="I25" s="1174"/>
      <c r="J25" s="1174"/>
    </row>
    <row r="26" spans="1:10" s="1134" customFormat="1" ht="16.5">
      <c r="A26" s="1139"/>
      <c r="B26" s="33"/>
      <c r="C26" s="27">
        <v>50</v>
      </c>
      <c r="D26" s="28" t="b">
        <f t="shared" si="2"/>
        <v>1</v>
      </c>
      <c r="E26" s="38" t="s">
        <v>2397</v>
      </c>
      <c r="F26" s="1165"/>
      <c r="G26" s="1165"/>
      <c r="H26" s="1165"/>
      <c r="I26" s="1174"/>
      <c r="J26" s="1174"/>
    </row>
    <row r="27" spans="1:10" s="1134" customFormat="1" ht="16.5">
      <c r="A27" s="1139"/>
      <c r="B27" s="33"/>
      <c r="C27" s="27">
        <v>60</v>
      </c>
      <c r="D27" s="28" t="b">
        <f t="shared" si="2"/>
        <v>1</v>
      </c>
      <c r="E27" s="38" t="s">
        <v>2398</v>
      </c>
      <c r="F27" s="1165"/>
      <c r="G27" s="1165"/>
      <c r="H27" s="1165"/>
      <c r="I27" s="1174"/>
      <c r="J27" s="1174"/>
    </row>
    <row r="28" spans="1:10" s="1134" customFormat="1" ht="16.5">
      <c r="A28" s="1139"/>
      <c r="B28" s="33"/>
      <c r="C28" s="27">
        <v>70</v>
      </c>
      <c r="D28" s="28" t="b">
        <f t="shared" si="2"/>
        <v>1</v>
      </c>
      <c r="E28" s="38" t="s">
        <v>2399</v>
      </c>
      <c r="F28" s="1165"/>
      <c r="G28" s="1165"/>
      <c r="H28" s="1165"/>
      <c r="I28" s="1174"/>
      <c r="J28" s="1174"/>
    </row>
    <row r="29" spans="1:10" s="1134" customFormat="1" ht="16.5">
      <c r="A29" s="1139"/>
      <c r="B29" s="33"/>
      <c r="C29" s="27">
        <v>80</v>
      </c>
      <c r="D29" s="28" t="b">
        <f t="shared" si="2"/>
        <v>1</v>
      </c>
      <c r="E29" s="38" t="s">
        <v>2400</v>
      </c>
      <c r="F29" s="1165"/>
      <c r="G29" s="1165"/>
      <c r="H29" s="1165"/>
      <c r="I29" s="1174"/>
      <c r="J29" s="1174"/>
    </row>
    <row r="30" spans="1:10" s="1134" customFormat="1" ht="16.5">
      <c r="A30" s="1139"/>
      <c r="B30" s="33"/>
      <c r="C30" s="27">
        <v>90</v>
      </c>
      <c r="D30" s="28" t="b">
        <f t="shared" si="2"/>
        <v>1</v>
      </c>
      <c r="E30" s="38" t="s">
        <v>2401</v>
      </c>
      <c r="F30" s="1165"/>
      <c r="G30" s="1165"/>
      <c r="H30" s="1165"/>
      <c r="I30" s="1174"/>
      <c r="J30" s="1174"/>
    </row>
    <row r="31" spans="1:10" s="1134" customFormat="1" ht="16.5">
      <c r="A31" s="1139"/>
      <c r="B31" s="33"/>
      <c r="C31" s="27">
        <v>100</v>
      </c>
      <c r="D31" s="28" t="b">
        <f t="shared" si="2"/>
        <v>1</v>
      </c>
      <c r="E31" s="38" t="s">
        <v>2402</v>
      </c>
      <c r="F31" s="1165"/>
      <c r="G31" s="1165"/>
      <c r="H31" s="1165"/>
      <c r="I31" s="1174"/>
      <c r="J31" s="1174"/>
    </row>
    <row r="32" spans="1:10" s="1134" customFormat="1" ht="16.5">
      <c r="A32" s="1139"/>
      <c r="B32" s="33"/>
      <c r="C32" s="27">
        <v>110</v>
      </c>
      <c r="D32" s="28" t="b">
        <f t="shared" si="2"/>
        <v>1</v>
      </c>
      <c r="E32" s="38" t="s">
        <v>2403</v>
      </c>
      <c r="F32" s="1165"/>
      <c r="G32" s="1165"/>
      <c r="H32" s="1165"/>
      <c r="I32" s="1174"/>
      <c r="J32" s="1174"/>
    </row>
    <row r="33" spans="1:11" s="1134" customFormat="1" ht="16.5">
      <c r="A33" s="1139"/>
      <c r="B33" s="33"/>
      <c r="C33" s="27">
        <v>120</v>
      </c>
      <c r="D33" s="28" t="b">
        <f t="shared" si="2"/>
        <v>1</v>
      </c>
      <c r="E33" s="38" t="s">
        <v>2404</v>
      </c>
      <c r="F33" s="1165"/>
      <c r="G33" s="1165"/>
      <c r="H33" s="1165"/>
      <c r="I33" s="1174"/>
      <c r="J33" s="1174"/>
    </row>
    <row r="34" spans="1:11" s="1134" customFormat="1" ht="16.5">
      <c r="A34" s="1135" t="s">
        <v>2969</v>
      </c>
      <c r="B34" s="1166"/>
      <c r="C34" s="1119">
        <v>130</v>
      </c>
      <c r="D34" s="1120" t="b">
        <f>H18=D18+E18-F18-G18</f>
        <v>1</v>
      </c>
      <c r="E34" s="1121" t="s">
        <v>2943</v>
      </c>
      <c r="F34" s="1167"/>
      <c r="G34" s="1167"/>
      <c r="H34" s="1167"/>
      <c r="I34" s="1175"/>
      <c r="J34" s="1175"/>
    </row>
    <row r="35" spans="1:11" s="1134" customFormat="1" ht="16.5">
      <c r="A35" s="1139"/>
      <c r="B35" s="33"/>
      <c r="C35" s="27">
        <v>140</v>
      </c>
      <c r="D35" s="28" t="b">
        <f>H5=SUM('8.b'!C4:E4)</f>
        <v>1</v>
      </c>
      <c r="E35" s="38" t="s">
        <v>4</v>
      </c>
      <c r="F35" s="1165"/>
      <c r="G35" s="1165"/>
      <c r="H35" s="1165"/>
      <c r="I35" s="1174"/>
      <c r="J35" s="1174"/>
    </row>
    <row r="36" spans="1:11" s="1134" customFormat="1" ht="16.5">
      <c r="A36" s="1139"/>
      <c r="B36" s="33"/>
      <c r="C36" s="27">
        <v>150</v>
      </c>
      <c r="D36" s="28" t="b">
        <f>H6=SUM('8.b'!C5:E5)</f>
        <v>1</v>
      </c>
      <c r="E36" s="38" t="s">
        <v>1770</v>
      </c>
      <c r="F36" s="1165"/>
      <c r="G36" s="1165"/>
      <c r="H36" s="1165"/>
      <c r="I36" s="1174"/>
      <c r="J36" s="1174"/>
    </row>
    <row r="37" spans="1:11" s="1134" customFormat="1" ht="16.5">
      <c r="A37" s="1139"/>
      <c r="B37" s="33"/>
      <c r="C37" s="27">
        <v>160</v>
      </c>
      <c r="D37" s="28" t="b">
        <f>H7=SUM('8.b'!C6:E6)</f>
        <v>1</v>
      </c>
      <c r="E37" s="38" t="s">
        <v>1771</v>
      </c>
      <c r="F37" s="1165"/>
      <c r="G37" s="1165"/>
      <c r="H37" s="1165"/>
      <c r="I37" s="1174"/>
      <c r="J37" s="1174"/>
    </row>
    <row r="38" spans="1:11" s="1134" customFormat="1" ht="16.5">
      <c r="A38" s="1139"/>
      <c r="B38" s="33"/>
      <c r="C38" s="27">
        <v>170</v>
      </c>
      <c r="D38" s="28" t="b">
        <f>H8=SUM('8.b'!C7:E7)</f>
        <v>1</v>
      </c>
      <c r="E38" s="38" t="s">
        <v>1772</v>
      </c>
      <c r="F38" s="1165"/>
      <c r="G38" s="1165"/>
      <c r="H38" s="1165"/>
      <c r="I38" s="1174"/>
      <c r="J38" s="1174"/>
    </row>
    <row r="39" spans="1:11" s="1134" customFormat="1" ht="16.5">
      <c r="A39" s="1139"/>
      <c r="B39" s="33"/>
      <c r="C39" s="27">
        <v>180</v>
      </c>
      <c r="D39" s="28" t="b">
        <f>H9=SUM('8.b'!C8:E8)</f>
        <v>1</v>
      </c>
      <c r="E39" s="38" t="s">
        <v>1773</v>
      </c>
      <c r="F39" s="1165"/>
      <c r="G39" s="1165"/>
      <c r="H39" s="1165"/>
      <c r="I39" s="1174"/>
      <c r="J39" s="1174"/>
    </row>
    <row r="40" spans="1:11" s="1134" customFormat="1" ht="16.5">
      <c r="A40" s="1139"/>
      <c r="B40" s="33"/>
      <c r="C40" s="27">
        <v>190</v>
      </c>
      <c r="D40" s="28" t="b">
        <f>H10=SUM('8.b'!C9:E9)</f>
        <v>1</v>
      </c>
      <c r="E40" s="38" t="s">
        <v>1774</v>
      </c>
      <c r="F40" s="1165"/>
      <c r="G40" s="1165"/>
      <c r="H40" s="1165"/>
      <c r="I40" s="1174"/>
      <c r="J40" s="1174"/>
    </row>
    <row r="41" spans="1:11" s="1134" customFormat="1" ht="16.5">
      <c r="A41" s="1139"/>
      <c r="B41" s="33"/>
      <c r="C41" s="27">
        <v>200</v>
      </c>
      <c r="D41" s="28" t="b">
        <f>H11=SUM('8.b'!C10:E10)</f>
        <v>1</v>
      </c>
      <c r="E41" s="38" t="s">
        <v>1775</v>
      </c>
      <c r="F41" s="1165"/>
      <c r="G41" s="1165"/>
      <c r="H41" s="1165"/>
      <c r="I41" s="1174"/>
      <c r="J41" s="1174"/>
    </row>
    <row r="42" spans="1:11" s="1134" customFormat="1" ht="16.5">
      <c r="A42" s="1139"/>
      <c r="B42" s="33"/>
      <c r="C42" s="27">
        <v>210</v>
      </c>
      <c r="D42" s="28" t="b">
        <f>H12=SUM('8.b'!C11:E11)</f>
        <v>1</v>
      </c>
      <c r="E42" s="38" t="s">
        <v>1776</v>
      </c>
      <c r="F42" s="1165"/>
      <c r="G42" s="1165"/>
      <c r="H42" s="1165"/>
      <c r="I42" s="1174"/>
      <c r="J42" s="1174"/>
    </row>
    <row r="43" spans="1:11" s="1134" customFormat="1" ht="16.5">
      <c r="A43" s="1139"/>
      <c r="B43" s="33"/>
      <c r="C43" s="27">
        <v>220</v>
      </c>
      <c r="D43" s="28" t="b">
        <f>H13=SUM('8.b'!C12:E12)</f>
        <v>1</v>
      </c>
      <c r="E43" s="38" t="s">
        <v>1777</v>
      </c>
      <c r="F43" s="1165"/>
      <c r="G43" s="1165"/>
      <c r="H43" s="1165"/>
      <c r="I43" s="1174"/>
      <c r="J43" s="1174"/>
    </row>
    <row r="44" spans="1:11" s="1134" customFormat="1" ht="16.5">
      <c r="A44" s="1139"/>
      <c r="B44" s="33"/>
      <c r="C44" s="27">
        <v>230</v>
      </c>
      <c r="D44" s="28" t="b">
        <f>H14=SUM('8.b'!C13:E13)</f>
        <v>1</v>
      </c>
      <c r="E44" s="38" t="s">
        <v>1778</v>
      </c>
      <c r="F44" s="1165"/>
      <c r="G44" s="1165"/>
      <c r="H44" s="1165"/>
      <c r="I44" s="1174"/>
      <c r="J44" s="1174"/>
    </row>
    <row r="45" spans="1:11" s="1134" customFormat="1" ht="16.5">
      <c r="A45" s="1139"/>
      <c r="B45" s="33"/>
      <c r="C45" s="27">
        <v>240</v>
      </c>
      <c r="D45" s="28" t="b">
        <f>H15=SUM('8.b'!C14:E14)</f>
        <v>1</v>
      </c>
      <c r="E45" s="38" t="s">
        <v>1564</v>
      </c>
      <c r="F45" s="1165"/>
      <c r="G45" s="1165"/>
      <c r="H45" s="1165"/>
      <c r="I45" s="1174"/>
      <c r="J45" s="1174"/>
    </row>
    <row r="46" spans="1:11" s="1134" customFormat="1" ht="16.5">
      <c r="A46" s="1139"/>
      <c r="B46" s="33"/>
      <c r="C46" s="27">
        <v>250</v>
      </c>
      <c r="D46" s="28" t="b">
        <f>H16=SUM('8.b'!C15:E15)</f>
        <v>1</v>
      </c>
      <c r="E46" s="38" t="s">
        <v>1565</v>
      </c>
      <c r="F46" s="1165"/>
      <c r="G46" s="1165"/>
      <c r="H46" s="1165"/>
      <c r="I46" s="1174"/>
      <c r="J46" s="1174"/>
    </row>
    <row r="47" spans="1:11" s="1134" customFormat="1" ht="13.5">
      <c r="A47" s="1135" t="s">
        <v>2969</v>
      </c>
      <c r="B47" s="1135"/>
      <c r="C47" s="1119">
        <v>260</v>
      </c>
      <c r="D47" s="1120" t="b">
        <f>H18=SUM('8.b'!C16:E16)</f>
        <v>1</v>
      </c>
      <c r="E47" s="1121" t="s">
        <v>2940</v>
      </c>
      <c r="F47" s="1135"/>
      <c r="G47" s="1135"/>
      <c r="H47" s="1135"/>
      <c r="I47" s="1135"/>
      <c r="J47" s="1139"/>
    </row>
    <row r="48" spans="1:11" s="1134" customFormat="1" ht="16.5">
      <c r="A48" s="1139"/>
      <c r="B48" s="33"/>
      <c r="C48" s="27">
        <v>270</v>
      </c>
      <c r="D48" s="28" t="b">
        <f>IF(E5,TRUE,FALSE)=OR(IF(F5,TRUE,FALSE),IF(G5,TRUE,FALSE))</f>
        <v>1</v>
      </c>
      <c r="E48" s="38" t="s">
        <v>1566</v>
      </c>
      <c r="F48" s="1165"/>
      <c r="G48" s="1165"/>
      <c r="H48" s="1165"/>
      <c r="I48" s="1174"/>
      <c r="J48" s="1174"/>
      <c r="K48" s="1171"/>
    </row>
    <row r="49" spans="1:11" s="1134" customFormat="1" ht="16.5">
      <c r="A49" s="1139"/>
      <c r="B49" s="33"/>
      <c r="C49" s="27">
        <v>280</v>
      </c>
      <c r="D49" s="28" t="b">
        <f t="shared" ref="D49:D59" si="3">IF(E6,TRUE,FALSE)=OR(IF(F6,TRUE,FALSE),IF(G6,TRUE,FALSE))</f>
        <v>1</v>
      </c>
      <c r="E49" s="38" t="s">
        <v>1567</v>
      </c>
      <c r="F49" s="1165"/>
      <c r="G49" s="1165"/>
      <c r="H49" s="1165"/>
      <c r="I49" s="1174"/>
      <c r="J49" s="1174"/>
      <c r="K49" s="1171"/>
    </row>
    <row r="50" spans="1:11" s="1134" customFormat="1" ht="16.5">
      <c r="A50" s="1139"/>
      <c r="B50" s="33"/>
      <c r="C50" s="27">
        <v>290</v>
      </c>
      <c r="D50" s="28" t="b">
        <f t="shared" si="3"/>
        <v>1</v>
      </c>
      <c r="E50" s="38" t="s">
        <v>1568</v>
      </c>
      <c r="F50" s="1165"/>
      <c r="G50" s="1165"/>
      <c r="H50" s="1165"/>
      <c r="I50" s="1174"/>
      <c r="J50" s="1174"/>
      <c r="K50" s="1171"/>
    </row>
    <row r="51" spans="1:11" s="1134" customFormat="1" ht="16.5">
      <c r="A51" s="1139"/>
      <c r="B51" s="33"/>
      <c r="C51" s="27">
        <v>300</v>
      </c>
      <c r="D51" s="28" t="b">
        <f t="shared" si="3"/>
        <v>1</v>
      </c>
      <c r="E51" s="38" t="s">
        <v>1569</v>
      </c>
      <c r="F51" s="1165"/>
      <c r="G51" s="1165"/>
      <c r="H51" s="1165"/>
      <c r="I51" s="1174"/>
      <c r="J51" s="1174"/>
      <c r="K51" s="1171"/>
    </row>
    <row r="52" spans="1:11" s="1134" customFormat="1" ht="16.5">
      <c r="A52" s="1139"/>
      <c r="B52" s="33"/>
      <c r="C52" s="27">
        <v>310</v>
      </c>
      <c r="D52" s="28" t="b">
        <f t="shared" si="3"/>
        <v>1</v>
      </c>
      <c r="E52" s="38" t="s">
        <v>1570</v>
      </c>
      <c r="F52" s="1165"/>
      <c r="G52" s="1165"/>
      <c r="H52" s="1165"/>
      <c r="I52" s="1174"/>
      <c r="J52" s="1174"/>
      <c r="K52" s="1171"/>
    </row>
    <row r="53" spans="1:11" s="1134" customFormat="1" ht="16.5">
      <c r="A53" s="1139"/>
      <c r="B53" s="33"/>
      <c r="C53" s="27">
        <v>320</v>
      </c>
      <c r="D53" s="28" t="b">
        <f t="shared" si="3"/>
        <v>1</v>
      </c>
      <c r="E53" s="38" t="s">
        <v>1571</v>
      </c>
      <c r="F53" s="1165"/>
      <c r="G53" s="1165"/>
      <c r="H53" s="1165"/>
      <c r="I53" s="1174"/>
      <c r="J53" s="1174"/>
      <c r="K53" s="1171"/>
    </row>
    <row r="54" spans="1:11" s="1134" customFormat="1" ht="16.5">
      <c r="A54" s="1139"/>
      <c r="B54" s="33"/>
      <c r="C54" s="27">
        <v>330</v>
      </c>
      <c r="D54" s="28" t="b">
        <f t="shared" si="3"/>
        <v>1</v>
      </c>
      <c r="E54" s="38" t="s">
        <v>1572</v>
      </c>
      <c r="F54" s="1165"/>
      <c r="G54" s="1165"/>
      <c r="H54" s="1165"/>
      <c r="I54" s="1174"/>
      <c r="J54" s="1174"/>
      <c r="K54" s="1171"/>
    </row>
    <row r="55" spans="1:11" s="1134" customFormat="1" ht="13.5">
      <c r="A55" s="1139"/>
      <c r="B55" s="33"/>
      <c r="C55" s="27">
        <v>340</v>
      </c>
      <c r="D55" s="28" t="b">
        <f t="shared" si="3"/>
        <v>1</v>
      </c>
      <c r="E55" s="38" t="s">
        <v>837</v>
      </c>
      <c r="F55" s="1176"/>
      <c r="G55" s="1176"/>
      <c r="H55" s="1176"/>
      <c r="I55" s="1176"/>
      <c r="J55" s="1176"/>
      <c r="K55" s="1177"/>
    </row>
    <row r="56" spans="1:11" s="1134" customFormat="1" ht="13.5">
      <c r="A56" s="1139"/>
      <c r="B56" s="33"/>
      <c r="C56" s="27">
        <v>350</v>
      </c>
      <c r="D56" s="28" t="b">
        <f t="shared" si="3"/>
        <v>1</v>
      </c>
      <c r="E56" s="38" t="s">
        <v>838</v>
      </c>
      <c r="F56" s="1176"/>
      <c r="G56" s="1176"/>
      <c r="H56" s="1176"/>
      <c r="I56" s="1176"/>
      <c r="J56" s="1176"/>
      <c r="K56" s="1177"/>
    </row>
    <row r="57" spans="1:11" s="1134" customFormat="1" ht="13.5">
      <c r="A57" s="1139"/>
      <c r="B57" s="33"/>
      <c r="C57" s="27">
        <v>360</v>
      </c>
      <c r="D57" s="28" t="b">
        <f t="shared" si="3"/>
        <v>1</v>
      </c>
      <c r="E57" s="38" t="s">
        <v>839</v>
      </c>
      <c r="F57" s="1176"/>
      <c r="G57" s="1176"/>
      <c r="H57" s="1176"/>
      <c r="I57" s="1176"/>
      <c r="J57" s="1176"/>
      <c r="K57" s="1177"/>
    </row>
    <row r="58" spans="1:11" s="1134" customFormat="1" ht="13.5">
      <c r="A58" s="1139"/>
      <c r="B58" s="33"/>
      <c r="C58" s="27">
        <v>370</v>
      </c>
      <c r="D58" s="28" t="b">
        <f t="shared" si="3"/>
        <v>1</v>
      </c>
      <c r="E58" s="38" t="s">
        <v>840</v>
      </c>
      <c r="F58" s="1176"/>
      <c r="G58" s="1176"/>
      <c r="H58" s="1176"/>
      <c r="I58" s="1176"/>
      <c r="J58" s="1176"/>
      <c r="K58" s="1177"/>
    </row>
    <row r="59" spans="1:11" s="1134" customFormat="1" ht="13.5">
      <c r="A59" s="1139"/>
      <c r="B59" s="33"/>
      <c r="C59" s="27">
        <v>380</v>
      </c>
      <c r="D59" s="28" t="b">
        <f t="shared" si="3"/>
        <v>1</v>
      </c>
      <c r="E59" s="38" t="s">
        <v>841</v>
      </c>
      <c r="F59" s="1176"/>
      <c r="G59" s="1176"/>
      <c r="H59" s="1176"/>
      <c r="I59" s="1176"/>
      <c r="J59" s="1176"/>
      <c r="K59" s="1177"/>
    </row>
    <row r="60" spans="1:11" s="1134" customFormat="1" ht="13.5">
      <c r="A60" s="1139"/>
      <c r="B60" s="33"/>
      <c r="C60" s="27">
        <v>390</v>
      </c>
      <c r="D60" s="28" t="b">
        <f>IF(E18,TRUE,FALSE)=OR(IF(F18,TRUE,FALSE),IF(G18,TRUE,FALSE))</f>
        <v>1</v>
      </c>
      <c r="E60" s="38" t="s">
        <v>842</v>
      </c>
      <c r="F60" s="1176"/>
      <c r="G60" s="1176"/>
      <c r="H60" s="1176"/>
      <c r="I60" s="1176"/>
      <c r="J60" s="1176"/>
      <c r="K60" s="1177"/>
    </row>
    <row r="61" spans="1:11" s="1134" customFormat="1" ht="13.5">
      <c r="A61" s="1139"/>
      <c r="B61" s="33"/>
      <c r="C61" s="27">
        <v>400</v>
      </c>
      <c r="D61" s="28" t="b">
        <f>H12='8.c'!D12</f>
        <v>1</v>
      </c>
      <c r="E61" s="29" t="s">
        <v>843</v>
      </c>
      <c r="F61" s="1139"/>
      <c r="G61" s="1139"/>
      <c r="H61" s="1139"/>
      <c r="I61" s="1139"/>
      <c r="J61" s="1139"/>
    </row>
    <row r="62" spans="1:11" s="1134" customFormat="1" ht="12.75" customHeight="1">
      <c r="A62" s="1139"/>
      <c r="B62" s="37"/>
      <c r="C62" s="27">
        <v>410</v>
      </c>
      <c r="D62" s="28" t="b">
        <f>H14='8.c'!E12</f>
        <v>1</v>
      </c>
      <c r="E62" s="29" t="s">
        <v>844</v>
      </c>
      <c r="F62" s="1139"/>
      <c r="G62" s="1139"/>
      <c r="H62" s="1139"/>
      <c r="I62" s="1139"/>
      <c r="J62" s="1139"/>
    </row>
    <row r="63" spans="1:11" s="1134" customFormat="1" ht="13.5">
      <c r="A63" s="1139"/>
      <c r="B63" s="37"/>
      <c r="C63" s="27">
        <v>420</v>
      </c>
      <c r="D63" s="28" t="b">
        <f>H15='8.c'!F12</f>
        <v>1</v>
      </c>
      <c r="E63" s="29" t="s">
        <v>845</v>
      </c>
      <c r="F63" s="1139"/>
      <c r="G63" s="1139"/>
      <c r="H63" s="1139"/>
      <c r="I63" s="1139"/>
      <c r="J63" s="1139"/>
    </row>
    <row r="64" spans="1:11" s="1134" customFormat="1" ht="13.5">
      <c r="A64" s="1139"/>
      <c r="B64" s="37"/>
      <c r="C64" s="27">
        <v>430</v>
      </c>
      <c r="D64" s="28" t="b">
        <f>H16='8.c'!G12</f>
        <v>1</v>
      </c>
      <c r="E64" s="29" t="s">
        <v>846</v>
      </c>
      <c r="F64" s="1139"/>
      <c r="G64" s="1139"/>
      <c r="H64" s="1139"/>
      <c r="I64" s="1139"/>
      <c r="J64" s="1139"/>
    </row>
    <row r="65" spans="1:10" s="1134" customFormat="1" ht="13.5">
      <c r="A65" s="1139"/>
      <c r="B65" s="37"/>
      <c r="C65" s="27">
        <v>440</v>
      </c>
      <c r="D65" s="28" t="b">
        <f>H18='1.1'!E7</f>
        <v>1</v>
      </c>
      <c r="E65" s="29" t="s">
        <v>2913</v>
      </c>
      <c r="F65" s="1139"/>
      <c r="G65" s="1139"/>
      <c r="H65" s="1139"/>
      <c r="I65" s="1139"/>
      <c r="J65" s="1139"/>
    </row>
    <row r="66" spans="1:10" s="1134" customFormat="1" ht="13.5">
      <c r="A66" s="1139"/>
      <c r="B66" s="37"/>
      <c r="C66" s="27">
        <v>450</v>
      </c>
      <c r="D66" s="28" t="b">
        <f>D5=SUM(D6:D10)</f>
        <v>1</v>
      </c>
      <c r="E66" s="29" t="s">
        <v>847</v>
      </c>
      <c r="F66" s="1139"/>
      <c r="G66" s="1139"/>
      <c r="H66" s="1139"/>
      <c r="I66" s="1139"/>
      <c r="J66" s="1139"/>
    </row>
    <row r="67" spans="1:10" s="1134" customFormat="1" ht="13.5">
      <c r="A67" s="1139"/>
      <c r="B67" s="37"/>
      <c r="C67" s="27">
        <v>460</v>
      </c>
      <c r="D67" s="28" t="b">
        <f>D11=SUM(D12:D16)</f>
        <v>1</v>
      </c>
      <c r="E67" s="29" t="s">
        <v>848</v>
      </c>
      <c r="F67" s="1139"/>
      <c r="G67" s="1139"/>
      <c r="H67" s="1139"/>
      <c r="I67" s="1139"/>
      <c r="J67" s="1139"/>
    </row>
    <row r="68" spans="1:10" s="1134" customFormat="1" ht="13.5">
      <c r="A68" s="1139"/>
      <c r="B68" s="37"/>
      <c r="C68" s="27">
        <v>470</v>
      </c>
      <c r="D68" s="28" t="b">
        <f>D18=D5+D11</f>
        <v>1</v>
      </c>
      <c r="E68" s="29" t="s">
        <v>849</v>
      </c>
      <c r="F68" s="1139"/>
      <c r="G68" s="1139"/>
      <c r="H68" s="1139"/>
      <c r="I68" s="1139"/>
      <c r="J68" s="1139"/>
    </row>
    <row r="69" spans="1:10" s="1134" customFormat="1" ht="13.5">
      <c r="A69" s="1139"/>
      <c r="B69" s="37"/>
      <c r="C69" s="27">
        <v>480</v>
      </c>
      <c r="D69" s="28" t="b">
        <f>E5=SUM(E6:E10)</f>
        <v>1</v>
      </c>
      <c r="E69" s="29" t="s">
        <v>850</v>
      </c>
      <c r="F69" s="1139"/>
      <c r="G69" s="1139"/>
      <c r="H69" s="1139"/>
      <c r="I69" s="1139"/>
      <c r="J69" s="1139"/>
    </row>
    <row r="70" spans="1:10" s="1134" customFormat="1" ht="13.5">
      <c r="A70" s="1139"/>
      <c r="B70" s="37"/>
      <c r="C70" s="27">
        <v>490</v>
      </c>
      <c r="D70" s="28" t="b">
        <f>E11=SUM(E12:E16)</f>
        <v>1</v>
      </c>
      <c r="E70" s="29" t="s">
        <v>851</v>
      </c>
      <c r="F70" s="1139"/>
      <c r="G70" s="1139"/>
      <c r="H70" s="1139"/>
      <c r="I70" s="1139"/>
      <c r="J70" s="1139"/>
    </row>
    <row r="71" spans="1:10" s="1134" customFormat="1" ht="13.5">
      <c r="A71" s="1139"/>
      <c r="B71" s="37"/>
      <c r="C71" s="27">
        <v>500</v>
      </c>
      <c r="D71" s="28" t="b">
        <f>E18=E5+E11</f>
        <v>1</v>
      </c>
      <c r="E71" s="29" t="s">
        <v>852</v>
      </c>
      <c r="F71" s="1139"/>
      <c r="G71" s="1139"/>
      <c r="H71" s="1139"/>
      <c r="I71" s="1139"/>
      <c r="J71" s="1139"/>
    </row>
    <row r="72" spans="1:10" s="1134" customFormat="1" ht="13.5">
      <c r="A72" s="1139"/>
      <c r="B72" s="37"/>
      <c r="C72" s="27">
        <v>510</v>
      </c>
      <c r="D72" s="28" t="b">
        <f>F5=SUM(F6:F10)</f>
        <v>1</v>
      </c>
      <c r="E72" s="29" t="s">
        <v>853</v>
      </c>
      <c r="F72" s="1139"/>
      <c r="G72" s="1139"/>
      <c r="H72" s="1139"/>
      <c r="I72" s="1139"/>
      <c r="J72" s="1139"/>
    </row>
    <row r="73" spans="1:10" s="1134" customFormat="1" ht="13.5">
      <c r="A73" s="1139"/>
      <c r="B73" s="37"/>
      <c r="C73" s="27">
        <v>520</v>
      </c>
      <c r="D73" s="28" t="b">
        <f>F11=SUM(F12:F16)</f>
        <v>1</v>
      </c>
      <c r="E73" s="29" t="s">
        <v>854</v>
      </c>
      <c r="F73" s="1139"/>
      <c r="G73" s="1139"/>
      <c r="H73" s="1139"/>
      <c r="I73" s="1139"/>
      <c r="J73" s="1139"/>
    </row>
    <row r="74" spans="1:10" s="1134" customFormat="1" ht="13.5">
      <c r="A74" s="1139"/>
      <c r="B74" s="37"/>
      <c r="C74" s="27">
        <v>530</v>
      </c>
      <c r="D74" s="28" t="b">
        <f>F18=F5+F11</f>
        <v>1</v>
      </c>
      <c r="E74" s="29" t="s">
        <v>855</v>
      </c>
      <c r="F74" s="1139"/>
      <c r="G74" s="1139"/>
      <c r="H74" s="1139"/>
      <c r="I74" s="1139"/>
      <c r="J74" s="1139"/>
    </row>
    <row r="75" spans="1:10" s="1134" customFormat="1" ht="13.5">
      <c r="A75" s="1139"/>
      <c r="B75" s="37"/>
      <c r="C75" s="27">
        <v>540</v>
      </c>
      <c r="D75" s="28" t="b">
        <f>G5=SUM(G6:G10)</f>
        <v>1</v>
      </c>
      <c r="E75" s="29" t="s">
        <v>856</v>
      </c>
      <c r="F75" s="1139"/>
      <c r="G75" s="1139"/>
      <c r="H75" s="1139"/>
      <c r="I75" s="1139"/>
      <c r="J75" s="1139"/>
    </row>
    <row r="76" spans="1:10" s="1134" customFormat="1" ht="13.5">
      <c r="A76" s="1139"/>
      <c r="B76" s="37"/>
      <c r="C76" s="27">
        <v>550</v>
      </c>
      <c r="D76" s="28" t="b">
        <f>G11=SUM(G12:G16)</f>
        <v>1</v>
      </c>
      <c r="E76" s="29" t="s">
        <v>857</v>
      </c>
      <c r="F76" s="1139"/>
      <c r="G76" s="1139"/>
      <c r="H76" s="1139"/>
      <c r="I76" s="1139"/>
      <c r="J76" s="1139"/>
    </row>
    <row r="77" spans="1:10" s="1134" customFormat="1" ht="13.5">
      <c r="A77" s="1139"/>
      <c r="B77" s="37"/>
      <c r="C77" s="27">
        <v>560</v>
      </c>
      <c r="D77" s="28" t="b">
        <f>G18=G5+G11</f>
        <v>1</v>
      </c>
      <c r="E77" s="29" t="s">
        <v>858</v>
      </c>
      <c r="F77" s="1139"/>
      <c r="G77" s="1139"/>
      <c r="H77" s="1139"/>
      <c r="I77" s="1139"/>
      <c r="J77" s="1139"/>
    </row>
    <row r="78" spans="1:10" s="1134" customFormat="1" ht="13.5">
      <c r="A78" s="1139"/>
      <c r="B78" s="37"/>
      <c r="C78" s="27">
        <v>570</v>
      </c>
      <c r="D78" s="28" t="b">
        <f>H5=SUM(H6:H10)</f>
        <v>1</v>
      </c>
      <c r="E78" s="29" t="s">
        <v>859</v>
      </c>
      <c r="F78" s="1139"/>
      <c r="G78" s="1139"/>
      <c r="H78" s="1139"/>
      <c r="I78" s="1139"/>
      <c r="J78" s="1139"/>
    </row>
    <row r="79" spans="1:10" s="1134" customFormat="1" ht="13.5">
      <c r="A79" s="1139"/>
      <c r="B79" s="37"/>
      <c r="C79" s="27">
        <v>580</v>
      </c>
      <c r="D79" s="28" t="b">
        <f>H11=SUM(H12:H16)</f>
        <v>1</v>
      </c>
      <c r="E79" s="29" t="s">
        <v>860</v>
      </c>
      <c r="F79" s="1139"/>
      <c r="G79" s="1139"/>
      <c r="H79" s="1139"/>
      <c r="I79" s="1139"/>
      <c r="J79" s="1139"/>
    </row>
    <row r="80" spans="1:10" s="1134" customFormat="1" ht="13.5">
      <c r="A80" s="1135" t="s">
        <v>2969</v>
      </c>
      <c r="B80" s="1124"/>
      <c r="C80" s="1119">
        <v>590</v>
      </c>
      <c r="D80" s="1120" t="b">
        <f>H18=H5+H11</f>
        <v>1</v>
      </c>
      <c r="E80" s="1125" t="s">
        <v>2941</v>
      </c>
      <c r="F80" s="1135"/>
      <c r="G80" s="1135"/>
      <c r="H80" s="1135"/>
      <c r="I80" s="1139"/>
      <c r="J80" s="1139"/>
    </row>
    <row r="81" spans="1:8" s="1134" customFormat="1" ht="13.5">
      <c r="A81" s="1135" t="s">
        <v>2969</v>
      </c>
      <c r="B81" s="1135"/>
      <c r="C81" s="1119">
        <v>600</v>
      </c>
      <c r="D81" s="1120" t="b">
        <f>H17=0</f>
        <v>1</v>
      </c>
      <c r="E81" s="1125" t="s">
        <v>2946</v>
      </c>
      <c r="F81" s="1135"/>
      <c r="G81" s="1135"/>
      <c r="H81" s="1135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G8" sqref="G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G8" sqref="G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A19:E19"/>
    <mergeCell ref="F19:H19"/>
  </mergeCells>
  <phoneticPr fontId="0" type="noConversion"/>
  <pageMargins left="0.28000000000000003" right="0.3" top="0.54" bottom="0.63" header="0.24" footer="0.5"/>
  <pageSetup paperSize="8" scale="156" orientation="landscape" r:id="rId4"/>
  <headerFooter alignWithMargins="0">
    <oddHeader xml:space="preserve">&amp;C8.A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/>
  </sheetViews>
  <sheetFormatPr defaultRowHeight="12.75"/>
  <cols>
    <col min="1" max="1" width="36" customWidth="1"/>
    <col min="2" max="2" width="8.5703125" customWidth="1"/>
    <col min="4" max="4" width="8.28515625" customWidth="1"/>
    <col min="5" max="5" width="8.5703125" customWidth="1"/>
    <col min="10" max="10" width="21.85546875" customWidth="1"/>
  </cols>
  <sheetData>
    <row r="1" spans="1:8" ht="16.5" thickBot="1">
      <c r="A1" s="242" t="s">
        <v>1426</v>
      </c>
      <c r="B1" s="278"/>
      <c r="C1" s="279"/>
      <c r="D1" s="279"/>
      <c r="E1" s="278"/>
    </row>
    <row r="2" spans="1:8" ht="92.25" customHeight="1" thickBot="1">
      <c r="A2" s="277" t="s">
        <v>1855</v>
      </c>
      <c r="B2" s="381"/>
      <c r="C2" s="271" t="s">
        <v>2205</v>
      </c>
      <c r="D2" s="271" t="s">
        <v>2206</v>
      </c>
      <c r="E2" s="271" t="s">
        <v>1854</v>
      </c>
    </row>
    <row r="3" spans="1:8" s="2" customFormat="1" ht="16.5" customHeight="1" thickBot="1">
      <c r="A3" s="382"/>
      <c r="B3" s="282" t="s">
        <v>1135</v>
      </c>
      <c r="C3" s="247" t="s">
        <v>526</v>
      </c>
      <c r="D3" s="247" t="s">
        <v>1415</v>
      </c>
      <c r="E3" s="371" t="s">
        <v>1118</v>
      </c>
    </row>
    <row r="4" spans="1:8" ht="15">
      <c r="A4" s="251" t="s">
        <v>1654</v>
      </c>
      <c r="B4" s="332">
        <v>7100</v>
      </c>
      <c r="C4" s="864">
        <f>SUM(C5:C9)</f>
        <v>250</v>
      </c>
      <c r="D4" s="833">
        <f>SUM(D5:D9)</f>
        <v>150</v>
      </c>
      <c r="E4" s="833">
        <f>SUM(E5:E9)</f>
        <v>100</v>
      </c>
    </row>
    <row r="5" spans="1:8" ht="15">
      <c r="A5" s="383" t="s">
        <v>1828</v>
      </c>
      <c r="B5" s="250">
        <v>7110</v>
      </c>
      <c r="C5" s="865">
        <v>50</v>
      </c>
      <c r="D5" s="832">
        <v>30</v>
      </c>
      <c r="E5" s="866">
        <v>20</v>
      </c>
    </row>
    <row r="6" spans="1:8" ht="15">
      <c r="A6" s="257" t="s">
        <v>1830</v>
      </c>
      <c r="B6" s="250">
        <v>7120</v>
      </c>
      <c r="C6" s="865">
        <v>50</v>
      </c>
      <c r="D6" s="832">
        <v>30</v>
      </c>
      <c r="E6" s="866">
        <v>20</v>
      </c>
    </row>
    <row r="7" spans="1:8" ht="15">
      <c r="A7" s="257" t="s">
        <v>1849</v>
      </c>
      <c r="B7" s="250">
        <v>7130</v>
      </c>
      <c r="C7" s="865">
        <v>50</v>
      </c>
      <c r="D7" s="832">
        <v>30</v>
      </c>
      <c r="E7" s="866">
        <v>20</v>
      </c>
    </row>
    <row r="8" spans="1:8" ht="15">
      <c r="A8" s="257" t="s">
        <v>1425</v>
      </c>
      <c r="B8" s="250">
        <v>7140</v>
      </c>
      <c r="C8" s="865">
        <v>50</v>
      </c>
      <c r="D8" s="832">
        <v>30</v>
      </c>
      <c r="E8" s="866">
        <v>20</v>
      </c>
    </row>
    <row r="9" spans="1:8" ht="15">
      <c r="A9" s="257" t="s">
        <v>1851</v>
      </c>
      <c r="B9" s="250">
        <v>7150</v>
      </c>
      <c r="C9" s="865">
        <v>50</v>
      </c>
      <c r="D9" s="832">
        <v>30</v>
      </c>
      <c r="E9" s="866">
        <v>20</v>
      </c>
    </row>
    <row r="10" spans="1:8" ht="15">
      <c r="A10" s="251" t="s">
        <v>1653</v>
      </c>
      <c r="B10" s="250">
        <v>7160</v>
      </c>
      <c r="C10" s="867">
        <f>SUM(C11:C15)</f>
        <v>250</v>
      </c>
      <c r="D10" s="833">
        <f>SUM(D11:D15)</f>
        <v>150</v>
      </c>
      <c r="E10" s="833">
        <f>SUM(E11:E15)</f>
        <v>100</v>
      </c>
    </row>
    <row r="11" spans="1:8" ht="15">
      <c r="A11" s="257" t="s">
        <v>1828</v>
      </c>
      <c r="B11" s="250">
        <v>7170</v>
      </c>
      <c r="C11" s="865">
        <v>50</v>
      </c>
      <c r="D11" s="832">
        <v>30</v>
      </c>
      <c r="E11" s="866">
        <v>20</v>
      </c>
    </row>
    <row r="12" spans="1:8" ht="15">
      <c r="A12" s="257" t="s">
        <v>1830</v>
      </c>
      <c r="B12" s="250">
        <v>7180</v>
      </c>
      <c r="C12" s="865">
        <v>50</v>
      </c>
      <c r="D12" s="832">
        <v>30</v>
      </c>
      <c r="E12" s="866">
        <v>20</v>
      </c>
    </row>
    <row r="13" spans="1:8" ht="15">
      <c r="A13" s="257" t="s">
        <v>1849</v>
      </c>
      <c r="B13" s="250">
        <v>7190</v>
      </c>
      <c r="C13" s="865">
        <v>50</v>
      </c>
      <c r="D13" s="832">
        <v>30</v>
      </c>
      <c r="E13" s="866">
        <v>20</v>
      </c>
    </row>
    <row r="14" spans="1:8" ht="15">
      <c r="A14" s="257" t="s">
        <v>1850</v>
      </c>
      <c r="B14" s="250">
        <v>7200</v>
      </c>
      <c r="C14" s="865">
        <v>50</v>
      </c>
      <c r="D14" s="832">
        <v>30</v>
      </c>
      <c r="E14" s="866">
        <v>20</v>
      </c>
    </row>
    <row r="15" spans="1:8" ht="15.75" thickBot="1">
      <c r="A15" s="257" t="s">
        <v>1851</v>
      </c>
      <c r="B15" s="250">
        <v>7210</v>
      </c>
      <c r="C15" s="865">
        <v>50</v>
      </c>
      <c r="D15" s="856">
        <v>30</v>
      </c>
      <c r="E15" s="866">
        <v>20</v>
      </c>
    </row>
    <row r="16" spans="1:8" ht="15.75" thickBot="1">
      <c r="A16" s="285" t="s">
        <v>1059</v>
      </c>
      <c r="B16" s="306">
        <v>7299</v>
      </c>
      <c r="C16" s="855">
        <f>SUM(C4,C10)</f>
        <v>500</v>
      </c>
      <c r="D16" s="868">
        <f>SUM(D4,D10)</f>
        <v>300</v>
      </c>
      <c r="E16" s="868">
        <f>SUM(E4,E10)</f>
        <v>200</v>
      </c>
      <c r="F16" s="829">
        <f>'1.1'!F7</f>
        <v>500</v>
      </c>
      <c r="G16" s="829">
        <f>'1.1'!G7</f>
        <v>300</v>
      </c>
      <c r="H16" s="829">
        <f>'1.1'!H7</f>
        <v>200</v>
      </c>
    </row>
    <row r="20" spans="1:10" s="1134" customFormat="1" ht="16.5">
      <c r="A20" s="1139"/>
      <c r="B20" s="1172"/>
      <c r="C20" s="27">
        <v>600</v>
      </c>
      <c r="D20" s="28" t="b">
        <f>C16=C4+C10</f>
        <v>1</v>
      </c>
      <c r="E20" s="38" t="s">
        <v>861</v>
      </c>
      <c r="F20" s="1165"/>
      <c r="G20" s="1165"/>
      <c r="H20" s="1165"/>
      <c r="I20" s="1171"/>
      <c r="J20" s="1171"/>
    </row>
    <row r="21" spans="1:10" s="1134" customFormat="1" ht="16.5">
      <c r="A21" s="1139"/>
      <c r="B21" s="1172"/>
      <c r="C21" s="27">
        <v>610</v>
      </c>
      <c r="D21" s="28" t="b">
        <f>C4=SUM(C5:C9)</f>
        <v>1</v>
      </c>
      <c r="E21" s="38" t="s">
        <v>1802</v>
      </c>
      <c r="F21" s="1165"/>
      <c r="G21" s="1165"/>
      <c r="H21" s="1165"/>
      <c r="I21" s="1171"/>
      <c r="J21" s="1171"/>
    </row>
    <row r="22" spans="1:10" s="1134" customFormat="1" ht="16.5">
      <c r="A22" s="1139"/>
      <c r="B22" s="1172"/>
      <c r="C22" s="27">
        <v>620</v>
      </c>
      <c r="D22" s="28" t="b">
        <f>C10=SUM(C11:C15)</f>
        <v>1</v>
      </c>
      <c r="E22" s="38" t="s">
        <v>1803</v>
      </c>
      <c r="F22" s="1165"/>
      <c r="G22" s="1165"/>
      <c r="H22" s="1165"/>
      <c r="I22" s="1171"/>
      <c r="J22" s="1171"/>
    </row>
    <row r="23" spans="1:10" s="1134" customFormat="1" ht="13.5">
      <c r="B23" s="1172"/>
      <c r="C23" s="27">
        <v>630</v>
      </c>
      <c r="D23" s="28" t="b">
        <f>D16=D4+D10</f>
        <v>1</v>
      </c>
      <c r="E23" s="38" t="s">
        <v>1804</v>
      </c>
    </row>
    <row r="24" spans="1:10" s="1134" customFormat="1" ht="13.5">
      <c r="B24" s="1172"/>
      <c r="C24" s="27">
        <v>640</v>
      </c>
      <c r="D24" s="28" t="b">
        <f>D4=SUM(D5:D9)</f>
        <v>1</v>
      </c>
      <c r="E24" s="38" t="s">
        <v>1805</v>
      </c>
    </row>
    <row r="25" spans="1:10" s="1134" customFormat="1" ht="13.5">
      <c r="B25" s="1172"/>
      <c r="C25" s="27">
        <v>650</v>
      </c>
      <c r="D25" s="28" t="b">
        <f>D10=SUM(D11:D15)</f>
        <v>1</v>
      </c>
      <c r="E25" s="38" t="s">
        <v>1806</v>
      </c>
    </row>
    <row r="26" spans="1:10" s="1134" customFormat="1" ht="13.5">
      <c r="B26" s="1172"/>
      <c r="C26" s="27">
        <v>660</v>
      </c>
      <c r="D26" s="28" t="b">
        <f>E16=E4+E10</f>
        <v>1</v>
      </c>
      <c r="E26" s="38" t="s">
        <v>1807</v>
      </c>
    </row>
    <row r="27" spans="1:10" s="1134" customFormat="1" ht="13.5">
      <c r="B27" s="1172"/>
      <c r="C27" s="27">
        <v>670</v>
      </c>
      <c r="D27" s="28" t="b">
        <f>E4=SUM(E5:E9)</f>
        <v>1</v>
      </c>
      <c r="E27" s="38" t="s">
        <v>1808</v>
      </c>
    </row>
    <row r="28" spans="1:10" s="1134" customFormat="1" ht="13.5">
      <c r="B28" s="1172"/>
      <c r="C28" s="27">
        <v>680</v>
      </c>
      <c r="D28" s="28" t="b">
        <f>E10=SUM(E11:E15)</f>
        <v>1</v>
      </c>
      <c r="E28" s="38" t="s">
        <v>1809</v>
      </c>
    </row>
    <row r="29" spans="1:10" s="1134" customFormat="1" ht="13.5">
      <c r="A29" s="1135" t="s">
        <v>2969</v>
      </c>
      <c r="B29" s="1173"/>
      <c r="C29" s="1119">
        <v>690</v>
      </c>
      <c r="D29" s="1120" t="b">
        <f>C16='1.1'!F7</f>
        <v>1</v>
      </c>
      <c r="E29" s="1121" t="s">
        <v>2939</v>
      </c>
      <c r="F29" s="1135"/>
      <c r="G29" s="1135"/>
      <c r="H29" s="1135"/>
    </row>
    <row r="30" spans="1:10" s="1134" customFormat="1" ht="13.5">
      <c r="A30" s="1135" t="s">
        <v>2969</v>
      </c>
      <c r="B30" s="1173"/>
      <c r="C30" s="1119">
        <v>700</v>
      </c>
      <c r="D30" s="1120" t="b">
        <f>D16='1.1'!G7</f>
        <v>1</v>
      </c>
      <c r="E30" s="1121" t="s">
        <v>2938</v>
      </c>
      <c r="F30" s="1135"/>
      <c r="G30" s="1135"/>
      <c r="H30" s="1135"/>
    </row>
    <row r="31" spans="1:10" s="1134" customFormat="1" ht="13.5">
      <c r="A31" s="1135" t="s">
        <v>2969</v>
      </c>
      <c r="B31" s="1173"/>
      <c r="C31" s="1119">
        <v>710</v>
      </c>
      <c r="D31" s="1120" t="b">
        <f>E16='1.1'!H7</f>
        <v>1</v>
      </c>
      <c r="E31" s="1121" t="s">
        <v>2937</v>
      </c>
      <c r="F31" s="1135"/>
      <c r="G31" s="1135"/>
      <c r="H31" s="1135"/>
    </row>
  </sheetData>
  <customSheetViews>
    <customSheetView guid="{5D819D0C-25F7-408A-B978-F4F86F7655CA}" showPageBreaks="1" showRuler="0">
      <selection activeCell="H15" sqref="H15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10" orientation="landscape" r:id="rId4"/>
  <headerFooter alignWithMargins="0">
    <oddHeader xml:space="preserve">&amp;C8.B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75" zoomScaleNormal="75" zoomScaleSheetLayoutView="100" workbookViewId="0">
      <selection activeCell="H12" sqref="H12"/>
    </sheetView>
  </sheetViews>
  <sheetFormatPr defaultRowHeight="12.75"/>
  <cols>
    <col min="1" max="1" width="48.5703125" bestFit="1" customWidth="1"/>
    <col min="2" max="2" width="8.7109375" customWidth="1"/>
    <col min="3" max="3" width="8.140625" customWidth="1"/>
    <col min="4" max="4" width="9.28515625" customWidth="1"/>
    <col min="6" max="6" width="8.7109375" customWidth="1"/>
    <col min="7" max="7" width="8.5703125" customWidth="1"/>
    <col min="11" max="11" width="14.85546875" customWidth="1"/>
  </cols>
  <sheetData>
    <row r="1" spans="1:11" ht="16.5" thickBot="1">
      <c r="A1" s="242" t="s">
        <v>1426</v>
      </c>
      <c r="B1" s="279"/>
      <c r="C1" s="279"/>
      <c r="D1" s="279"/>
      <c r="E1" s="278"/>
      <c r="F1" s="279"/>
      <c r="G1" s="279"/>
    </row>
    <row r="2" spans="1:11" ht="120.75" customHeight="1" thickBot="1">
      <c r="A2" s="395" t="s">
        <v>2190</v>
      </c>
      <c r="B2" s="397" t="s">
        <v>2560</v>
      </c>
      <c r="C2" s="396"/>
      <c r="D2" s="271" t="s">
        <v>2561</v>
      </c>
      <c r="E2" s="270" t="s">
        <v>1849</v>
      </c>
      <c r="F2" s="379" t="s">
        <v>1425</v>
      </c>
      <c r="G2" s="271" t="s">
        <v>1851</v>
      </c>
    </row>
    <row r="3" spans="1:11" s="2" customFormat="1" ht="15.75" thickBot="1">
      <c r="A3" s="384"/>
      <c r="B3" s="385"/>
      <c r="C3" s="386" t="s">
        <v>1225</v>
      </c>
      <c r="D3" s="283" t="s">
        <v>1126</v>
      </c>
      <c r="E3" s="387" t="s">
        <v>1127</v>
      </c>
      <c r="F3" s="370" t="s">
        <v>1128</v>
      </c>
      <c r="G3" s="371" t="s">
        <v>952</v>
      </c>
    </row>
    <row r="4" spans="1:11" ht="15.75" thickBot="1">
      <c r="A4" s="388" t="s">
        <v>2562</v>
      </c>
      <c r="B4" s="389" t="s">
        <v>2563</v>
      </c>
      <c r="C4" s="390">
        <v>7300</v>
      </c>
      <c r="D4" s="869">
        <v>12</v>
      </c>
      <c r="E4" s="869">
        <v>12</v>
      </c>
      <c r="F4" s="869">
        <v>12</v>
      </c>
      <c r="G4" s="869">
        <v>12</v>
      </c>
    </row>
    <row r="5" spans="1:11" ht="15.75" thickBot="1">
      <c r="A5" s="388" t="s">
        <v>2564</v>
      </c>
      <c r="B5" s="389" t="s">
        <v>2565</v>
      </c>
      <c r="C5" s="392">
        <v>7310</v>
      </c>
      <c r="D5" s="869">
        <v>12</v>
      </c>
      <c r="E5" s="869">
        <v>12</v>
      </c>
      <c r="F5" s="869">
        <v>12</v>
      </c>
      <c r="G5" s="869">
        <v>12</v>
      </c>
    </row>
    <row r="6" spans="1:11" ht="15.75" thickBot="1">
      <c r="A6" s="388" t="s">
        <v>1658</v>
      </c>
      <c r="B6" s="389" t="s">
        <v>2566</v>
      </c>
      <c r="C6" s="392">
        <v>7320</v>
      </c>
      <c r="D6" s="869">
        <v>12</v>
      </c>
      <c r="E6" s="869">
        <v>12</v>
      </c>
      <c r="F6" s="869">
        <v>12</v>
      </c>
      <c r="G6" s="869">
        <v>12</v>
      </c>
    </row>
    <row r="7" spans="1:11" ht="15.75" thickBot="1">
      <c r="A7" s="388" t="s">
        <v>2567</v>
      </c>
      <c r="B7" s="389" t="s">
        <v>2568</v>
      </c>
      <c r="C7" s="392">
        <v>7330</v>
      </c>
      <c r="D7" s="869">
        <v>12</v>
      </c>
      <c r="E7" s="869">
        <v>12</v>
      </c>
      <c r="F7" s="869">
        <v>12</v>
      </c>
      <c r="G7" s="869">
        <v>12</v>
      </c>
    </row>
    <row r="8" spans="1:11" ht="15.75" thickBot="1">
      <c r="A8" s="388" t="s">
        <v>2569</v>
      </c>
      <c r="B8" s="389" t="s">
        <v>2570</v>
      </c>
      <c r="C8" s="392">
        <v>7340</v>
      </c>
      <c r="D8" s="869">
        <v>12</v>
      </c>
      <c r="E8" s="869">
        <v>12</v>
      </c>
      <c r="F8" s="869">
        <v>12</v>
      </c>
      <c r="G8" s="869">
        <v>12</v>
      </c>
    </row>
    <row r="9" spans="1:11" ht="15.75" thickBot="1">
      <c r="A9" s="388" t="s">
        <v>2571</v>
      </c>
      <c r="B9" s="389" t="s">
        <v>2572</v>
      </c>
      <c r="C9" s="392">
        <v>7350</v>
      </c>
      <c r="D9" s="869">
        <v>12</v>
      </c>
      <c r="E9" s="869">
        <v>12</v>
      </c>
      <c r="F9" s="869">
        <v>12</v>
      </c>
      <c r="G9" s="869">
        <v>12</v>
      </c>
    </row>
    <row r="10" spans="1:11" ht="15.75" thickBot="1">
      <c r="A10" s="388" t="s">
        <v>2573</v>
      </c>
      <c r="B10" s="389" t="s">
        <v>2188</v>
      </c>
      <c r="C10" s="392">
        <v>7360</v>
      </c>
      <c r="D10" s="869">
        <v>12</v>
      </c>
      <c r="E10" s="869">
        <v>12</v>
      </c>
      <c r="F10" s="869">
        <v>12</v>
      </c>
      <c r="G10" s="869">
        <v>12</v>
      </c>
    </row>
    <row r="11" spans="1:11" ht="15.75" thickBot="1">
      <c r="A11" s="388" t="s">
        <v>1591</v>
      </c>
      <c r="B11" s="389" t="s">
        <v>2189</v>
      </c>
      <c r="C11" s="393">
        <v>7370</v>
      </c>
      <c r="D11" s="869">
        <v>16</v>
      </c>
      <c r="E11" s="869">
        <v>16</v>
      </c>
      <c r="F11" s="869">
        <v>16</v>
      </c>
      <c r="G11" s="869">
        <v>16</v>
      </c>
    </row>
    <row r="12" spans="1:11" ht="15.75" thickBot="1">
      <c r="A12" s="399" t="s">
        <v>1059</v>
      </c>
      <c r="B12" s="398"/>
      <c r="C12" s="386">
        <v>7399</v>
      </c>
      <c r="D12" s="837">
        <f>'8.a'!H12</f>
        <v>100</v>
      </c>
      <c r="E12" s="837">
        <f>'8.a'!H14</f>
        <v>100</v>
      </c>
      <c r="F12" s="870">
        <f>'8.a'!H15</f>
        <v>100</v>
      </c>
      <c r="G12" s="837">
        <f>'8.a'!H16</f>
        <v>100</v>
      </c>
      <c r="H12" s="829">
        <f>D12-'8.a'!H12</f>
        <v>0</v>
      </c>
      <c r="I12" s="829">
        <f>E12-'8.a'!H14</f>
        <v>0</v>
      </c>
      <c r="J12" s="829">
        <f>F12-'8.a'!H15</f>
        <v>0</v>
      </c>
      <c r="K12" s="829">
        <f>G12-'8.a'!H16</f>
        <v>0</v>
      </c>
    </row>
    <row r="13" spans="1:11" ht="25.5" customHeight="1">
      <c r="A13" s="1200"/>
      <c r="B13" s="1200"/>
      <c r="C13" s="1200"/>
      <c r="D13" s="1200"/>
      <c r="E13" s="1200"/>
      <c r="F13" s="1200"/>
      <c r="G13" s="3"/>
    </row>
    <row r="14" spans="1:11">
      <c r="A14" s="9"/>
    </row>
    <row r="15" spans="1:11" s="19" customFormat="1" ht="15.75">
      <c r="B15" s="27"/>
      <c r="C15" s="27">
        <v>720</v>
      </c>
      <c r="D15" s="28" t="b">
        <f>D12=SUM(D4:D11)</f>
        <v>1</v>
      </c>
      <c r="E15" s="38" t="s">
        <v>2914</v>
      </c>
      <c r="F15" s="40"/>
      <c r="G15" s="40"/>
      <c r="H15" s="40"/>
      <c r="I15" s="44"/>
      <c r="J15" s="44"/>
    </row>
    <row r="16" spans="1:11" s="41" customFormat="1" ht="15.75">
      <c r="B16" s="1107"/>
      <c r="C16" s="27">
        <v>730</v>
      </c>
      <c r="D16" s="28" t="b">
        <f>E12=SUM(E4:E11)</f>
        <v>1</v>
      </c>
      <c r="E16" s="38" t="s">
        <v>2648</v>
      </c>
      <c r="F16" s="40"/>
      <c r="G16" s="40"/>
      <c r="H16" s="40"/>
      <c r="I16" s="44"/>
      <c r="J16" s="44"/>
      <c r="K16" s="44"/>
    </row>
    <row r="17" spans="2:11" s="41" customFormat="1" ht="15.75">
      <c r="B17" s="1107"/>
      <c r="C17" s="27">
        <v>740</v>
      </c>
      <c r="D17" s="28" t="b">
        <f>F12=SUM(F4:F11)</f>
        <v>1</v>
      </c>
      <c r="E17" s="38" t="s">
        <v>2649</v>
      </c>
      <c r="F17" s="40"/>
      <c r="G17" s="40"/>
      <c r="H17" s="40"/>
      <c r="I17" s="44"/>
      <c r="J17" s="44"/>
    </row>
    <row r="18" spans="2:11" s="41" customFormat="1" ht="15.75">
      <c r="B18" s="1107"/>
      <c r="C18" s="27">
        <v>750</v>
      </c>
      <c r="D18" s="28" t="b">
        <f>G12=SUM(G4:G11)</f>
        <v>1</v>
      </c>
      <c r="E18" s="38" t="s">
        <v>2650</v>
      </c>
      <c r="F18" s="40"/>
      <c r="G18" s="40"/>
      <c r="H18" s="40"/>
      <c r="I18" s="44"/>
      <c r="J18" s="44"/>
      <c r="K18" s="44"/>
    </row>
    <row r="19" spans="2:11" s="2" customFormat="1"/>
    <row r="20" spans="2:11" s="2" customFormat="1"/>
  </sheetData>
  <customSheetViews>
    <customSheetView guid="{5D819D0C-25F7-408A-B978-F4F86F7655CA}" showPageBreaks="1" showRuler="0" topLeftCell="C1">
      <selection activeCell="I5" sqref="I5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1" sqref="A11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1" sqref="A11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A13:F13"/>
  </mergeCells>
  <phoneticPr fontId="8" type="noConversion"/>
  <pageMargins left="0.75" right="0.75" top="1" bottom="1" header="0.5" footer="0.5"/>
  <pageSetup paperSize="8" scale="160" orientation="landscape" r:id="rId4"/>
  <headerFooter alignWithMargins="0">
    <oddHeader xml:space="preserve">&amp;C8.C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Normal="100" zoomScaleSheetLayoutView="100" workbookViewId="0"/>
  </sheetViews>
  <sheetFormatPr defaultRowHeight="12.75"/>
  <cols>
    <col min="1" max="1" width="40.28515625" bestFit="1" customWidth="1"/>
    <col min="2" max="2" width="9.42578125" customWidth="1"/>
    <col min="3" max="3" width="8.140625" customWidth="1"/>
    <col min="4" max="4" width="9.7109375" customWidth="1"/>
    <col min="5" max="5" width="10" customWidth="1"/>
    <col min="6" max="6" width="9.42578125" customWidth="1"/>
    <col min="11" max="11" width="32.28515625" customWidth="1"/>
  </cols>
  <sheetData>
    <row r="1" spans="1:8" ht="16.5" thickBot="1">
      <c r="A1" s="242" t="s">
        <v>2193</v>
      </c>
      <c r="B1" s="279"/>
      <c r="C1" s="279"/>
      <c r="D1" s="279"/>
      <c r="E1" s="279"/>
      <c r="F1" s="279"/>
      <c r="G1" s="279"/>
      <c r="H1" s="279"/>
    </row>
    <row r="2" spans="1:8" ht="220.5" customHeight="1" thickBot="1">
      <c r="A2" s="374" t="s">
        <v>1853</v>
      </c>
      <c r="B2" s="378" t="s">
        <v>137</v>
      </c>
      <c r="C2" s="401"/>
      <c r="D2" s="378" t="s">
        <v>1416</v>
      </c>
      <c r="E2" s="379" t="s">
        <v>1427</v>
      </c>
      <c r="F2" s="378" t="s">
        <v>1417</v>
      </c>
      <c r="G2" s="378" t="s">
        <v>1659</v>
      </c>
      <c r="H2" s="356" t="s">
        <v>1419</v>
      </c>
    </row>
    <row r="3" spans="1:8" ht="66" customHeight="1" thickBot="1">
      <c r="A3" s="365"/>
      <c r="B3" s="366"/>
      <c r="C3" s="366"/>
      <c r="D3" s="380" t="s">
        <v>740</v>
      </c>
      <c r="E3" s="380" t="s">
        <v>1420</v>
      </c>
      <c r="F3" s="362" t="s">
        <v>2191</v>
      </c>
      <c r="G3" s="362" t="s">
        <v>2192</v>
      </c>
      <c r="H3" s="368"/>
    </row>
    <row r="4" spans="1:8" s="2" customFormat="1" ht="15.75" thickBot="1">
      <c r="A4" s="281"/>
      <c r="B4" s="369"/>
      <c r="C4" s="359" t="s">
        <v>1134</v>
      </c>
      <c r="D4" s="317" t="s">
        <v>1013</v>
      </c>
      <c r="E4" s="318" t="s">
        <v>1014</v>
      </c>
      <c r="F4" s="319" t="s">
        <v>1015</v>
      </c>
      <c r="G4" s="247" t="s">
        <v>1016</v>
      </c>
      <c r="H4" s="247" t="s">
        <v>525</v>
      </c>
    </row>
    <row r="5" spans="1:8" ht="16.5" customHeight="1">
      <c r="A5" s="251" t="s">
        <v>1654</v>
      </c>
      <c r="B5" s="252" t="s">
        <v>1423</v>
      </c>
      <c r="C5" s="332">
        <v>7100</v>
      </c>
      <c r="D5" s="833">
        <f>SUM(D6:D10)</f>
        <v>300</v>
      </c>
      <c r="E5" s="833">
        <f>SUM(E6:E10)</f>
        <v>300</v>
      </c>
      <c r="F5" s="833">
        <f>SUM(F6:F10)</f>
        <v>50</v>
      </c>
      <c r="G5" s="833">
        <f>SUM(G6:G10)</f>
        <v>50</v>
      </c>
      <c r="H5" s="833">
        <f>SUM(H6:H10)</f>
        <v>500</v>
      </c>
    </row>
    <row r="6" spans="1:8" ht="15">
      <c r="A6" s="257" t="s">
        <v>1828</v>
      </c>
      <c r="B6" s="258" t="s">
        <v>1829</v>
      </c>
      <c r="C6" s="250">
        <v>7110</v>
      </c>
      <c r="D6" s="832">
        <v>60</v>
      </c>
      <c r="E6" s="832">
        <v>60</v>
      </c>
      <c r="F6" s="832">
        <v>10</v>
      </c>
      <c r="G6" s="832">
        <v>10</v>
      </c>
      <c r="H6" s="832">
        <f>D6+E6-F6-G6</f>
        <v>100</v>
      </c>
    </row>
    <row r="7" spans="1:8" ht="15">
      <c r="A7" s="257" t="s">
        <v>1830</v>
      </c>
      <c r="B7" s="258" t="s">
        <v>1424</v>
      </c>
      <c r="C7" s="250">
        <v>7120</v>
      </c>
      <c r="D7" s="832">
        <v>60</v>
      </c>
      <c r="E7" s="832">
        <v>60</v>
      </c>
      <c r="F7" s="832">
        <v>10</v>
      </c>
      <c r="G7" s="832">
        <v>10</v>
      </c>
      <c r="H7" s="832">
        <f t="shared" ref="H7:H10" si="0">D7+E7-F7-G7</f>
        <v>100</v>
      </c>
    </row>
    <row r="8" spans="1:8" ht="15">
      <c r="A8" s="257" t="s">
        <v>1849</v>
      </c>
      <c r="B8" s="258" t="s">
        <v>1424</v>
      </c>
      <c r="C8" s="250">
        <v>7130</v>
      </c>
      <c r="D8" s="832">
        <v>60</v>
      </c>
      <c r="E8" s="832">
        <v>60</v>
      </c>
      <c r="F8" s="832">
        <v>10</v>
      </c>
      <c r="G8" s="832">
        <v>10</v>
      </c>
      <c r="H8" s="832">
        <f t="shared" si="0"/>
        <v>100</v>
      </c>
    </row>
    <row r="9" spans="1:8" ht="15">
      <c r="A9" s="257" t="s">
        <v>1425</v>
      </c>
      <c r="B9" s="258" t="s">
        <v>1424</v>
      </c>
      <c r="C9" s="250">
        <v>7140</v>
      </c>
      <c r="D9" s="832">
        <v>60</v>
      </c>
      <c r="E9" s="832">
        <v>60</v>
      </c>
      <c r="F9" s="832">
        <v>10</v>
      </c>
      <c r="G9" s="832">
        <v>10</v>
      </c>
      <c r="H9" s="832">
        <f t="shared" si="0"/>
        <v>100</v>
      </c>
    </row>
    <row r="10" spans="1:8" ht="15">
      <c r="A10" s="257" t="s">
        <v>1851</v>
      </c>
      <c r="B10" s="258" t="s">
        <v>1424</v>
      </c>
      <c r="C10" s="250">
        <v>7150</v>
      </c>
      <c r="D10" s="832">
        <v>60</v>
      </c>
      <c r="E10" s="832">
        <v>60</v>
      </c>
      <c r="F10" s="832">
        <v>10</v>
      </c>
      <c r="G10" s="832">
        <v>10</v>
      </c>
      <c r="H10" s="832">
        <f t="shared" si="0"/>
        <v>100</v>
      </c>
    </row>
    <row r="11" spans="1:8" ht="15">
      <c r="A11" s="251" t="s">
        <v>1653</v>
      </c>
      <c r="B11" s="252" t="s">
        <v>140</v>
      </c>
      <c r="C11" s="250">
        <v>7160</v>
      </c>
      <c r="D11" s="833">
        <f>SUM(D12:D16)</f>
        <v>300</v>
      </c>
      <c r="E11" s="833">
        <f>SUM(E12:E16)</f>
        <v>300</v>
      </c>
      <c r="F11" s="833">
        <f>SUM(F12:F16)</f>
        <v>50</v>
      </c>
      <c r="G11" s="833">
        <f>SUM(G12:G16)</f>
        <v>50</v>
      </c>
      <c r="H11" s="833">
        <f>SUM(H12:H16)</f>
        <v>500</v>
      </c>
    </row>
    <row r="12" spans="1:8" ht="15">
      <c r="A12" s="257" t="s">
        <v>1828</v>
      </c>
      <c r="B12" s="258" t="s">
        <v>1829</v>
      </c>
      <c r="C12" s="250">
        <v>7170</v>
      </c>
      <c r="D12" s="832">
        <v>60</v>
      </c>
      <c r="E12" s="832">
        <v>60</v>
      </c>
      <c r="F12" s="832">
        <v>10</v>
      </c>
      <c r="G12" s="832">
        <v>10</v>
      </c>
      <c r="H12" s="832">
        <f t="shared" ref="H12:H16" si="1">D12+E12-F12-G12</f>
        <v>100</v>
      </c>
    </row>
    <row r="13" spans="1:8" ht="15">
      <c r="A13" s="257" t="s">
        <v>1830</v>
      </c>
      <c r="B13" s="258" t="s">
        <v>1424</v>
      </c>
      <c r="C13" s="250">
        <v>7180</v>
      </c>
      <c r="D13" s="832">
        <v>60</v>
      </c>
      <c r="E13" s="832">
        <v>60</v>
      </c>
      <c r="F13" s="832">
        <v>10</v>
      </c>
      <c r="G13" s="832">
        <v>10</v>
      </c>
      <c r="H13" s="832">
        <f t="shared" si="1"/>
        <v>100</v>
      </c>
    </row>
    <row r="14" spans="1:8" ht="15">
      <c r="A14" s="257" t="s">
        <v>1849</v>
      </c>
      <c r="B14" s="258" t="s">
        <v>1424</v>
      </c>
      <c r="C14" s="250">
        <v>7190</v>
      </c>
      <c r="D14" s="832">
        <v>60</v>
      </c>
      <c r="E14" s="832">
        <v>60</v>
      </c>
      <c r="F14" s="832">
        <v>10</v>
      </c>
      <c r="G14" s="832">
        <v>10</v>
      </c>
      <c r="H14" s="832">
        <f t="shared" si="1"/>
        <v>100</v>
      </c>
    </row>
    <row r="15" spans="1:8" ht="15">
      <c r="A15" s="257" t="s">
        <v>1850</v>
      </c>
      <c r="B15" s="258" t="s">
        <v>1424</v>
      </c>
      <c r="C15" s="250">
        <v>7200</v>
      </c>
      <c r="D15" s="832">
        <v>60</v>
      </c>
      <c r="E15" s="832">
        <v>60</v>
      </c>
      <c r="F15" s="832">
        <v>10</v>
      </c>
      <c r="G15" s="832">
        <v>10</v>
      </c>
      <c r="H15" s="832">
        <f t="shared" si="1"/>
        <v>100</v>
      </c>
    </row>
    <row r="16" spans="1:8" ht="15.75" thickBot="1">
      <c r="A16" s="403" t="s">
        <v>1851</v>
      </c>
      <c r="B16" s="258" t="s">
        <v>1424</v>
      </c>
      <c r="C16" s="250">
        <v>7210</v>
      </c>
      <c r="D16" s="832">
        <v>60</v>
      </c>
      <c r="E16" s="832">
        <v>60</v>
      </c>
      <c r="F16" s="832">
        <v>10</v>
      </c>
      <c r="G16" s="832">
        <v>10</v>
      </c>
      <c r="H16" s="832">
        <f t="shared" si="1"/>
        <v>100</v>
      </c>
    </row>
    <row r="17" spans="1:17" ht="15.75" thickBot="1">
      <c r="A17" s="251" t="s">
        <v>1652</v>
      </c>
      <c r="B17" s="404"/>
      <c r="C17" s="250">
        <v>7250</v>
      </c>
      <c r="D17" s="857"/>
      <c r="E17" s="858"/>
      <c r="F17" s="858"/>
      <c r="G17" s="859"/>
      <c r="H17" s="860">
        <v>0</v>
      </c>
    </row>
    <row r="18" spans="1:17" ht="15.75" thickBot="1">
      <c r="A18" s="405" t="s">
        <v>1059</v>
      </c>
      <c r="B18" s="256"/>
      <c r="C18" s="306">
        <v>7999</v>
      </c>
      <c r="D18" s="861">
        <f>SUM(D5,D11)</f>
        <v>600</v>
      </c>
      <c r="E18" s="861">
        <f>SUM(E5,E11)</f>
        <v>600</v>
      </c>
      <c r="F18" s="861">
        <f>SUM(F5,F11)</f>
        <v>100</v>
      </c>
      <c r="G18" s="861">
        <f>SUM(G5,G11)</f>
        <v>100</v>
      </c>
      <c r="H18" s="862">
        <f>SUM(H5,H11)</f>
        <v>1000</v>
      </c>
      <c r="I18" s="871">
        <f>H18-'1.1'!E8</f>
        <v>0</v>
      </c>
    </row>
    <row r="19" spans="1:17" ht="15">
      <c r="A19" s="406"/>
      <c r="B19" s="279"/>
      <c r="C19" s="279"/>
      <c r="D19" s="279"/>
      <c r="E19" s="279"/>
      <c r="F19" s="279"/>
      <c r="G19" s="279"/>
      <c r="H19" s="279"/>
    </row>
    <row r="20" spans="1:17">
      <c r="A20" s="9"/>
    </row>
    <row r="21" spans="1:17" ht="13.5">
      <c r="A21" s="1140"/>
    </row>
    <row r="22" spans="1:17" s="1134" customFormat="1" ht="16.5">
      <c r="A22" s="1139"/>
      <c r="B22" s="1172"/>
      <c r="C22" s="27">
        <v>760</v>
      </c>
      <c r="D22" s="28" t="b">
        <f>H5=D5+E5-F5-G5</f>
        <v>1</v>
      </c>
      <c r="E22" s="38" t="s">
        <v>2651</v>
      </c>
      <c r="F22" s="1165"/>
      <c r="G22" s="1165"/>
      <c r="H22" s="1165"/>
      <c r="I22" s="1165"/>
      <c r="J22" s="1165"/>
      <c r="K22" s="1165"/>
      <c r="L22" s="1165"/>
      <c r="M22" s="1165"/>
      <c r="N22" s="1165"/>
      <c r="O22" s="1165"/>
      <c r="P22" s="1165"/>
      <c r="Q22" s="1165"/>
    </row>
    <row r="23" spans="1:17" s="1134" customFormat="1" ht="16.5">
      <c r="A23" s="1139"/>
      <c r="B23" s="1172"/>
      <c r="C23" s="27">
        <v>770</v>
      </c>
      <c r="D23" s="28" t="b">
        <f t="shared" ref="D23:D33" si="2">H6=D6+E6-F6-G6</f>
        <v>1</v>
      </c>
      <c r="E23" s="38" t="s">
        <v>2652</v>
      </c>
      <c r="F23" s="1165"/>
      <c r="G23" s="1165"/>
      <c r="H23" s="1165"/>
      <c r="I23" s="1165"/>
      <c r="J23" s="1165"/>
      <c r="K23" s="1165"/>
      <c r="L23" s="1165"/>
      <c r="M23" s="1165"/>
      <c r="N23" s="1165"/>
      <c r="O23" s="1165"/>
      <c r="P23" s="1165"/>
      <c r="Q23" s="1165"/>
    </row>
    <row r="24" spans="1:17" s="1134" customFormat="1" ht="16.5">
      <c r="A24" s="1139"/>
      <c r="B24" s="1172"/>
      <c r="C24" s="27">
        <v>780</v>
      </c>
      <c r="D24" s="28" t="b">
        <f t="shared" si="2"/>
        <v>1</v>
      </c>
      <c r="E24" s="38" t="s">
        <v>2653</v>
      </c>
      <c r="F24" s="1165"/>
      <c r="G24" s="1165"/>
      <c r="H24" s="1165"/>
      <c r="I24" s="1165"/>
      <c r="J24" s="1165"/>
      <c r="K24" s="1165"/>
      <c r="L24" s="1165"/>
      <c r="M24" s="1165"/>
      <c r="N24" s="1165"/>
      <c r="O24" s="1165"/>
      <c r="P24" s="1165"/>
      <c r="Q24" s="1165"/>
    </row>
    <row r="25" spans="1:17" s="1134" customFormat="1" ht="16.5">
      <c r="A25" s="1139"/>
      <c r="B25" s="1172"/>
      <c r="C25" s="27">
        <v>790</v>
      </c>
      <c r="D25" s="28" t="b">
        <f t="shared" si="2"/>
        <v>1</v>
      </c>
      <c r="E25" s="38" t="s">
        <v>2654</v>
      </c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</row>
    <row r="26" spans="1:17" s="1134" customFormat="1" ht="16.5">
      <c r="A26" s="1139"/>
      <c r="B26" s="1172"/>
      <c r="C26" s="27">
        <v>800</v>
      </c>
      <c r="D26" s="28" t="b">
        <f t="shared" si="2"/>
        <v>1</v>
      </c>
      <c r="E26" s="38" t="s">
        <v>2655</v>
      </c>
      <c r="F26" s="1165"/>
      <c r="G26" s="1165"/>
      <c r="H26" s="1165"/>
      <c r="I26" s="1165"/>
      <c r="J26" s="1165"/>
      <c r="K26" s="1165"/>
      <c r="L26" s="1165"/>
      <c r="M26" s="1165"/>
      <c r="N26" s="1165"/>
      <c r="O26" s="1165"/>
      <c r="P26" s="1165"/>
      <c r="Q26" s="1165"/>
    </row>
    <row r="27" spans="1:17" s="1134" customFormat="1" ht="16.5">
      <c r="A27" s="1139"/>
      <c r="B27" s="1172"/>
      <c r="C27" s="27">
        <v>810</v>
      </c>
      <c r="D27" s="28" t="b">
        <f t="shared" si="2"/>
        <v>1</v>
      </c>
      <c r="E27" s="38" t="s">
        <v>2656</v>
      </c>
      <c r="F27" s="1133"/>
      <c r="G27" s="1133"/>
      <c r="H27" s="1133"/>
      <c r="I27" s="1133"/>
      <c r="J27" s="1133"/>
      <c r="K27" s="1133"/>
      <c r="L27" s="1133"/>
      <c r="M27" s="1133"/>
      <c r="N27" s="1133"/>
      <c r="O27" s="1133"/>
      <c r="P27" s="1133"/>
      <c r="Q27" s="1133"/>
    </row>
    <row r="28" spans="1:17" s="1134" customFormat="1" ht="16.5">
      <c r="A28" s="1139"/>
      <c r="B28" s="1172"/>
      <c r="C28" s="27">
        <v>820</v>
      </c>
      <c r="D28" s="28" t="b">
        <f t="shared" si="2"/>
        <v>1</v>
      </c>
      <c r="E28" s="38" t="s">
        <v>2657</v>
      </c>
      <c r="F28" s="1165"/>
      <c r="G28" s="1165"/>
      <c r="H28" s="1165"/>
      <c r="I28" s="1165"/>
      <c r="J28" s="1165"/>
      <c r="K28" s="1165"/>
      <c r="L28" s="1165"/>
      <c r="M28" s="1165"/>
      <c r="N28" s="1165"/>
      <c r="O28" s="1165"/>
      <c r="P28" s="1165"/>
      <c r="Q28" s="1165"/>
    </row>
    <row r="29" spans="1:17" s="1134" customFormat="1" ht="16.5">
      <c r="A29" s="1139"/>
      <c r="B29" s="1172"/>
      <c r="C29" s="27">
        <v>830</v>
      </c>
      <c r="D29" s="28" t="b">
        <f t="shared" si="2"/>
        <v>1</v>
      </c>
      <c r="E29" s="38" t="s">
        <v>1964</v>
      </c>
      <c r="F29" s="1165"/>
      <c r="G29" s="1165"/>
      <c r="H29" s="1165"/>
      <c r="I29" s="1165"/>
      <c r="J29" s="1165"/>
      <c r="K29" s="1165"/>
      <c r="L29" s="1165"/>
      <c r="M29" s="1165"/>
      <c r="N29" s="1165"/>
      <c r="O29" s="1165"/>
      <c r="P29" s="1165"/>
      <c r="Q29" s="1165"/>
    </row>
    <row r="30" spans="1:17" s="1134" customFormat="1" ht="16.5">
      <c r="A30" s="1139"/>
      <c r="B30" s="1172"/>
      <c r="C30" s="27">
        <v>840</v>
      </c>
      <c r="D30" s="28" t="b">
        <f t="shared" si="2"/>
        <v>1</v>
      </c>
      <c r="E30" s="38" t="s">
        <v>1965</v>
      </c>
      <c r="F30" s="1165"/>
      <c r="G30" s="1165"/>
      <c r="H30" s="1165"/>
      <c r="I30" s="1165"/>
      <c r="J30" s="1165"/>
      <c r="K30" s="1165"/>
      <c r="L30" s="1165"/>
      <c r="M30" s="1165"/>
      <c r="N30" s="1165"/>
      <c r="O30" s="1165"/>
      <c r="P30" s="1165"/>
      <c r="Q30" s="1165"/>
    </row>
    <row r="31" spans="1:17" s="1134" customFormat="1" ht="16.5">
      <c r="A31" s="1139"/>
      <c r="B31" s="1172"/>
      <c r="C31" s="27">
        <v>850</v>
      </c>
      <c r="D31" s="28" t="b">
        <f t="shared" si="2"/>
        <v>1</v>
      </c>
      <c r="E31" s="38" t="s">
        <v>1966</v>
      </c>
      <c r="F31" s="1165"/>
      <c r="G31" s="1165"/>
      <c r="H31" s="1165"/>
      <c r="I31" s="1165"/>
      <c r="J31" s="1165"/>
      <c r="K31" s="1165"/>
      <c r="L31" s="1165"/>
      <c r="M31" s="1165"/>
      <c r="N31" s="1165"/>
      <c r="O31" s="1165"/>
      <c r="P31" s="1165"/>
      <c r="Q31" s="1165"/>
    </row>
    <row r="32" spans="1:17" s="1134" customFormat="1" ht="16.5">
      <c r="A32" s="1139"/>
      <c r="B32" s="1172"/>
      <c r="C32" s="27">
        <v>860</v>
      </c>
      <c r="D32" s="28" t="b">
        <f t="shared" si="2"/>
        <v>1</v>
      </c>
      <c r="E32" s="38" t="s">
        <v>1967</v>
      </c>
      <c r="F32" s="1165"/>
      <c r="G32" s="1165"/>
      <c r="H32" s="1165"/>
      <c r="I32" s="1165"/>
      <c r="J32" s="1165"/>
      <c r="K32" s="1165"/>
      <c r="L32" s="1165"/>
      <c r="M32" s="1165"/>
      <c r="N32" s="1165"/>
      <c r="O32" s="1165"/>
      <c r="P32" s="1165"/>
      <c r="Q32" s="1165"/>
    </row>
    <row r="33" spans="1:17" s="1134" customFormat="1" ht="16.5">
      <c r="A33" s="1139"/>
      <c r="B33" s="1172"/>
      <c r="C33" s="27">
        <v>870</v>
      </c>
      <c r="D33" s="28" t="b">
        <f t="shared" si="2"/>
        <v>1</v>
      </c>
      <c r="E33" s="38" t="s">
        <v>1968</v>
      </c>
      <c r="F33" s="1165"/>
      <c r="G33" s="1165"/>
      <c r="H33" s="1165"/>
      <c r="I33" s="1165"/>
      <c r="J33" s="1165"/>
      <c r="K33" s="1165"/>
      <c r="L33" s="1165"/>
      <c r="M33" s="1165"/>
      <c r="N33" s="1165"/>
      <c r="O33" s="1165"/>
      <c r="P33" s="1165"/>
      <c r="Q33" s="1165"/>
    </row>
    <row r="34" spans="1:17" s="1134" customFormat="1" ht="16.5">
      <c r="A34" s="1135" t="s">
        <v>2969</v>
      </c>
      <c r="B34" s="1119"/>
      <c r="C34" s="1119">
        <v>880</v>
      </c>
      <c r="D34" s="1120" t="b">
        <f>H18=D18+E18-F18-G18</f>
        <v>1</v>
      </c>
      <c r="E34" s="1121" t="s">
        <v>2947</v>
      </c>
      <c r="F34" s="1167"/>
      <c r="G34" s="1167"/>
      <c r="H34" s="1167"/>
      <c r="I34" s="1167"/>
      <c r="J34" s="1167"/>
      <c r="K34" s="1165"/>
      <c r="L34" s="1165"/>
      <c r="M34" s="1165"/>
      <c r="N34" s="1165"/>
      <c r="O34" s="1165"/>
      <c r="P34" s="1165"/>
      <c r="Q34" s="1165"/>
    </row>
    <row r="35" spans="1:17" s="1134" customFormat="1" ht="16.5">
      <c r="A35" s="1139"/>
      <c r="B35" s="1172"/>
      <c r="C35" s="27">
        <v>890</v>
      </c>
      <c r="D35" s="28" t="b">
        <f>IF(E5,TRUE,FALSE)=(OR(IF(F5,TRUE,FALSE), IF(G5,TRUE,FALSE)))</f>
        <v>1</v>
      </c>
      <c r="E35" s="38" t="s">
        <v>1969</v>
      </c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5"/>
    </row>
    <row r="36" spans="1:17" s="1134" customFormat="1" ht="16.5">
      <c r="A36" s="1139"/>
      <c r="B36" s="1172"/>
      <c r="C36" s="27">
        <v>900</v>
      </c>
      <c r="D36" s="28" t="b">
        <f t="shared" ref="D36:D46" si="3">IF(E6,TRUE,FALSE)=(OR(IF(F6,TRUE,FALSE), IF(G6,TRUE,FALSE)))</f>
        <v>1</v>
      </c>
      <c r="E36" s="38" t="s">
        <v>1970</v>
      </c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</row>
    <row r="37" spans="1:17" s="1134" customFormat="1" ht="16.5">
      <c r="A37" s="1139"/>
      <c r="B37" s="1172"/>
      <c r="C37" s="27">
        <v>910</v>
      </c>
      <c r="D37" s="28" t="b">
        <f t="shared" si="3"/>
        <v>1</v>
      </c>
      <c r="E37" s="38" t="s">
        <v>1971</v>
      </c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5"/>
    </row>
    <row r="38" spans="1:17" s="1134" customFormat="1" ht="16.5">
      <c r="A38" s="1139"/>
      <c r="B38" s="1172"/>
      <c r="C38" s="27">
        <v>920</v>
      </c>
      <c r="D38" s="28" t="b">
        <f t="shared" si="3"/>
        <v>1</v>
      </c>
      <c r="E38" s="38" t="s">
        <v>1972</v>
      </c>
      <c r="F38" s="1165"/>
      <c r="G38" s="1165"/>
      <c r="H38" s="1165"/>
      <c r="I38" s="1165"/>
      <c r="J38" s="1165"/>
      <c r="K38" s="1165"/>
      <c r="L38" s="1165"/>
      <c r="M38" s="1165"/>
      <c r="N38" s="1165"/>
      <c r="O38" s="1165"/>
      <c r="P38" s="1165"/>
      <c r="Q38" s="1165"/>
    </row>
    <row r="39" spans="1:17" s="1134" customFormat="1" ht="16.5">
      <c r="A39" s="1139"/>
      <c r="B39" s="1172"/>
      <c r="C39" s="27">
        <v>930</v>
      </c>
      <c r="D39" s="28" t="b">
        <f t="shared" si="3"/>
        <v>1</v>
      </c>
      <c r="E39" s="38" t="s">
        <v>1973</v>
      </c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5"/>
    </row>
    <row r="40" spans="1:17" s="1134" customFormat="1" ht="16.5">
      <c r="A40" s="1139"/>
      <c r="B40" s="1172"/>
      <c r="C40" s="27">
        <v>940</v>
      </c>
      <c r="D40" s="28" t="b">
        <f t="shared" si="3"/>
        <v>1</v>
      </c>
      <c r="E40" s="38" t="s">
        <v>1974</v>
      </c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5"/>
    </row>
    <row r="41" spans="1:17" s="1134" customFormat="1" ht="16.5">
      <c r="A41" s="1139"/>
      <c r="B41" s="1172"/>
      <c r="C41" s="27">
        <v>950</v>
      </c>
      <c r="D41" s="28" t="b">
        <f t="shared" si="3"/>
        <v>1</v>
      </c>
      <c r="E41" s="38" t="s">
        <v>1975</v>
      </c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5"/>
    </row>
    <row r="42" spans="1:17" s="1134" customFormat="1" ht="16.5">
      <c r="A42" s="1139"/>
      <c r="B42" s="1172"/>
      <c r="C42" s="27">
        <v>960</v>
      </c>
      <c r="D42" s="28" t="b">
        <f t="shared" si="3"/>
        <v>1</v>
      </c>
      <c r="E42" s="38" t="s">
        <v>1976</v>
      </c>
      <c r="F42" s="1165"/>
      <c r="G42" s="1165"/>
      <c r="H42" s="1165"/>
      <c r="I42" s="1165"/>
      <c r="J42" s="1165"/>
      <c r="K42" s="1165"/>
      <c r="L42" s="1165"/>
      <c r="M42" s="1165"/>
      <c r="N42" s="1165"/>
      <c r="O42" s="1165"/>
      <c r="P42" s="1165"/>
      <c r="Q42" s="1165"/>
    </row>
    <row r="43" spans="1:17" s="1134" customFormat="1" ht="16.5">
      <c r="A43" s="1139"/>
      <c r="B43" s="1172"/>
      <c r="C43" s="27">
        <v>970</v>
      </c>
      <c r="D43" s="28" t="b">
        <f t="shared" si="3"/>
        <v>1</v>
      </c>
      <c r="E43" s="38" t="s">
        <v>1977</v>
      </c>
      <c r="F43" s="1165"/>
      <c r="G43" s="1165"/>
      <c r="H43" s="1165"/>
      <c r="I43" s="1165"/>
      <c r="J43" s="1165"/>
      <c r="K43" s="1165"/>
      <c r="L43" s="1165"/>
      <c r="M43" s="1165"/>
      <c r="N43" s="1165"/>
      <c r="O43" s="1165"/>
      <c r="P43" s="1165"/>
      <c r="Q43" s="1165"/>
    </row>
    <row r="44" spans="1:17" s="1134" customFormat="1" ht="16.5">
      <c r="A44" s="1139"/>
      <c r="B44" s="1172"/>
      <c r="C44" s="27">
        <v>980</v>
      </c>
      <c r="D44" s="28" t="b">
        <f t="shared" si="3"/>
        <v>1</v>
      </c>
      <c r="E44" s="38" t="s">
        <v>2748</v>
      </c>
      <c r="F44" s="1165"/>
      <c r="G44" s="1165"/>
      <c r="H44" s="1165"/>
      <c r="I44" s="1165"/>
      <c r="J44" s="1165"/>
      <c r="K44" s="1165"/>
      <c r="L44" s="1165"/>
      <c r="M44" s="1165"/>
      <c r="N44" s="1165"/>
      <c r="O44" s="1165"/>
      <c r="P44" s="1165"/>
      <c r="Q44" s="1165"/>
    </row>
    <row r="45" spans="1:17" s="1134" customFormat="1" ht="16.5">
      <c r="A45" s="1139"/>
      <c r="B45" s="1172"/>
      <c r="C45" s="27">
        <v>990</v>
      </c>
      <c r="D45" s="28" t="b">
        <f t="shared" si="3"/>
        <v>1</v>
      </c>
      <c r="E45" s="38" t="s">
        <v>2749</v>
      </c>
      <c r="F45" s="1165"/>
      <c r="G45" s="1165"/>
      <c r="H45" s="1165"/>
      <c r="I45" s="1165"/>
      <c r="J45" s="1165"/>
      <c r="K45" s="1165"/>
      <c r="L45" s="1165"/>
      <c r="M45" s="1165"/>
      <c r="N45" s="1165"/>
      <c r="O45" s="1165"/>
      <c r="P45" s="1165"/>
      <c r="Q45" s="1165"/>
    </row>
    <row r="46" spans="1:17" s="1134" customFormat="1" ht="16.5">
      <c r="A46" s="1139"/>
      <c r="B46" s="1172"/>
      <c r="C46" s="27">
        <v>1000</v>
      </c>
      <c r="D46" s="28" t="b">
        <f t="shared" si="3"/>
        <v>1</v>
      </c>
      <c r="E46" s="38" t="s">
        <v>2750</v>
      </c>
      <c r="F46" s="1165"/>
      <c r="G46" s="1165"/>
      <c r="H46" s="1165"/>
      <c r="I46" s="1165"/>
      <c r="J46" s="1165"/>
      <c r="K46" s="1165"/>
      <c r="L46" s="1165"/>
      <c r="M46" s="1165"/>
      <c r="N46" s="1165"/>
      <c r="O46" s="1165"/>
      <c r="P46" s="1165"/>
      <c r="Q46" s="1165"/>
    </row>
    <row r="47" spans="1:17" s="1134" customFormat="1" ht="16.5">
      <c r="A47" s="1139"/>
      <c r="B47" s="1172"/>
      <c r="C47" s="27">
        <v>1010</v>
      </c>
      <c r="D47" s="28" t="b">
        <f>IF(E18,TRUE,FALSE)=(OR(IF(F18,TRUE,FALSE), IF(G18,TRUE,FALSE)))</f>
        <v>1</v>
      </c>
      <c r="E47" s="38" t="s">
        <v>2751</v>
      </c>
      <c r="F47" s="1165"/>
      <c r="G47" s="1165"/>
      <c r="H47" s="1165"/>
      <c r="I47" s="1165"/>
      <c r="J47" s="1165"/>
      <c r="K47" s="1165"/>
      <c r="L47" s="1165"/>
      <c r="M47" s="1165"/>
      <c r="N47" s="1165"/>
      <c r="O47" s="1165"/>
      <c r="P47" s="1165"/>
      <c r="Q47" s="1165"/>
    </row>
    <row r="48" spans="1:17" s="1134" customFormat="1" ht="16.5">
      <c r="A48" s="1139"/>
      <c r="B48" s="1172"/>
      <c r="C48" s="27">
        <v>1020</v>
      </c>
      <c r="D48" s="28" t="b">
        <f>D5=SUM(D6:D10)</f>
        <v>1</v>
      </c>
      <c r="E48" s="38" t="s">
        <v>2752</v>
      </c>
      <c r="F48" s="1165"/>
      <c r="G48" s="1165"/>
      <c r="H48" s="1165"/>
      <c r="I48" s="1165"/>
      <c r="J48" s="1165"/>
      <c r="K48" s="1165"/>
      <c r="L48" s="1165"/>
      <c r="M48" s="1165"/>
      <c r="N48" s="1165"/>
      <c r="O48" s="1165"/>
      <c r="P48" s="1165"/>
      <c r="Q48" s="1165"/>
    </row>
    <row r="49" spans="1:17" s="1134" customFormat="1" ht="16.5">
      <c r="A49" s="1139"/>
      <c r="B49" s="1172"/>
      <c r="C49" s="27">
        <v>1030</v>
      </c>
      <c r="D49" s="28" t="b">
        <f>E5=SUM(E6:E10)</f>
        <v>1</v>
      </c>
      <c r="E49" s="38" t="s">
        <v>2753</v>
      </c>
      <c r="F49" s="1165"/>
      <c r="G49" s="1165"/>
      <c r="H49" s="1165"/>
      <c r="I49" s="1165"/>
      <c r="J49" s="1165"/>
      <c r="K49" s="1165"/>
      <c r="L49" s="1165"/>
      <c r="M49" s="1165"/>
      <c r="N49" s="1165"/>
      <c r="O49" s="1165"/>
      <c r="P49" s="1165"/>
      <c r="Q49" s="1165"/>
    </row>
    <row r="50" spans="1:17" s="1134" customFormat="1" ht="16.5">
      <c r="A50" s="1139"/>
      <c r="B50" s="1172"/>
      <c r="C50" s="27">
        <v>1040</v>
      </c>
      <c r="D50" s="28" t="b">
        <f>F5=SUM(F6:F10)</f>
        <v>1</v>
      </c>
      <c r="E50" s="38" t="s">
        <v>2754</v>
      </c>
      <c r="F50" s="1165"/>
      <c r="G50" s="1165"/>
      <c r="H50" s="1165"/>
      <c r="I50" s="1165"/>
      <c r="J50" s="1165"/>
      <c r="K50" s="1165"/>
      <c r="L50" s="1165"/>
      <c r="M50" s="1165"/>
      <c r="N50" s="1165"/>
      <c r="O50" s="1165"/>
      <c r="P50" s="1165"/>
      <c r="Q50" s="1165"/>
    </row>
    <row r="51" spans="1:17" s="1134" customFormat="1" ht="16.5">
      <c r="A51" s="1139"/>
      <c r="B51" s="1172"/>
      <c r="C51" s="27">
        <v>1050</v>
      </c>
      <c r="D51" s="28" t="b">
        <f>G5=SUM(G6:G10)</f>
        <v>1</v>
      </c>
      <c r="E51" s="38" t="s">
        <v>2755</v>
      </c>
      <c r="F51" s="1165"/>
      <c r="G51" s="1165"/>
      <c r="H51" s="1165"/>
      <c r="I51" s="1165"/>
      <c r="J51" s="1165"/>
      <c r="K51" s="1165"/>
      <c r="L51" s="1165"/>
      <c r="M51" s="1165"/>
      <c r="N51" s="1165"/>
      <c r="O51" s="1165"/>
      <c r="P51" s="1165"/>
      <c r="Q51" s="1165"/>
    </row>
    <row r="52" spans="1:17" s="1134" customFormat="1" ht="16.5">
      <c r="A52" s="1139"/>
      <c r="B52" s="1172"/>
      <c r="C52" s="27">
        <v>1060</v>
      </c>
      <c r="D52" s="28" t="b">
        <f>H5=SUM(H6:H10)</f>
        <v>1</v>
      </c>
      <c r="E52" s="38" t="s">
        <v>2756</v>
      </c>
      <c r="F52" s="1165"/>
      <c r="G52" s="1165"/>
      <c r="H52" s="1165"/>
      <c r="I52" s="1165"/>
      <c r="J52" s="1165"/>
      <c r="K52" s="1165"/>
      <c r="L52" s="1165"/>
      <c r="M52" s="1165"/>
      <c r="N52" s="1165"/>
      <c r="O52" s="1165"/>
      <c r="P52" s="1165"/>
      <c r="Q52" s="1165"/>
    </row>
    <row r="53" spans="1:17" s="1134" customFormat="1" ht="16.5">
      <c r="A53" s="1139"/>
      <c r="B53" s="1172"/>
      <c r="C53" s="27">
        <v>1070</v>
      </c>
      <c r="D53" s="28" t="b">
        <f>D11=SUM(D12:D16)</f>
        <v>1</v>
      </c>
      <c r="E53" s="38" t="s">
        <v>2757</v>
      </c>
      <c r="F53" s="1165"/>
      <c r="G53" s="1165"/>
      <c r="H53" s="1165"/>
      <c r="I53" s="1165"/>
      <c r="J53" s="1165"/>
      <c r="K53" s="1165"/>
      <c r="L53" s="1165"/>
      <c r="M53" s="1165"/>
      <c r="N53" s="1165"/>
      <c r="O53" s="1165"/>
      <c r="P53" s="1165"/>
      <c r="Q53" s="1165"/>
    </row>
    <row r="54" spans="1:17" s="1134" customFormat="1" ht="16.5">
      <c r="A54" s="1139"/>
      <c r="B54" s="1172"/>
      <c r="C54" s="27">
        <v>1080</v>
      </c>
      <c r="D54" s="28" t="b">
        <f>E11=SUM(E12:E16)</f>
        <v>1</v>
      </c>
      <c r="E54" s="38" t="s">
        <v>2758</v>
      </c>
      <c r="F54" s="1165"/>
      <c r="G54" s="1165"/>
      <c r="H54" s="1165"/>
      <c r="I54" s="1165"/>
      <c r="J54" s="1165"/>
      <c r="K54" s="1165"/>
      <c r="L54" s="1165"/>
      <c r="M54" s="1165"/>
      <c r="N54" s="1165"/>
      <c r="O54" s="1165"/>
      <c r="P54" s="1165"/>
      <c r="Q54" s="1165"/>
    </row>
    <row r="55" spans="1:17" s="1134" customFormat="1" ht="16.5">
      <c r="A55" s="1139"/>
      <c r="B55" s="1172"/>
      <c r="C55" s="27">
        <v>1090</v>
      </c>
      <c r="D55" s="28" t="b">
        <f>F11=SUM(F12:F16)</f>
        <v>1</v>
      </c>
      <c r="E55" s="38" t="s">
        <v>2759</v>
      </c>
      <c r="F55" s="1165"/>
      <c r="G55" s="1165"/>
      <c r="H55" s="1165"/>
      <c r="I55" s="1165"/>
      <c r="J55" s="1165"/>
      <c r="K55" s="1165"/>
      <c r="L55" s="1165"/>
      <c r="M55" s="1165"/>
      <c r="N55" s="1165"/>
      <c r="O55" s="1165"/>
      <c r="P55" s="1165"/>
      <c r="Q55" s="1165"/>
    </row>
    <row r="56" spans="1:17" s="1134" customFormat="1" ht="16.5">
      <c r="A56" s="1139"/>
      <c r="B56" s="1172"/>
      <c r="C56" s="27">
        <v>1100</v>
      </c>
      <c r="D56" s="28" t="b">
        <f>G11=SUM(G12:G16)</f>
        <v>1</v>
      </c>
      <c r="E56" s="38" t="s">
        <v>2760</v>
      </c>
      <c r="F56" s="1165"/>
      <c r="G56" s="1165"/>
      <c r="H56" s="1165"/>
      <c r="I56" s="1165"/>
      <c r="J56" s="1165"/>
      <c r="K56" s="1165"/>
      <c r="L56" s="1165"/>
      <c r="M56" s="1165"/>
      <c r="N56" s="1165"/>
      <c r="O56" s="1165"/>
      <c r="P56" s="1165"/>
      <c r="Q56" s="1165"/>
    </row>
    <row r="57" spans="1:17" s="1134" customFormat="1" ht="16.5">
      <c r="A57" s="1139"/>
      <c r="B57" s="1172"/>
      <c r="C57" s="27">
        <v>1110</v>
      </c>
      <c r="D57" s="28" t="b">
        <f>H11=SUM(H12:H16)</f>
        <v>1</v>
      </c>
      <c r="E57" s="38" t="s">
        <v>2761</v>
      </c>
      <c r="F57" s="1165"/>
      <c r="G57" s="1165"/>
      <c r="H57" s="1165"/>
      <c r="I57" s="1165"/>
      <c r="J57" s="1165"/>
      <c r="K57" s="1165"/>
      <c r="L57" s="1165"/>
      <c r="M57" s="1165"/>
      <c r="N57" s="1165"/>
      <c r="O57" s="1165"/>
      <c r="P57" s="1165"/>
      <c r="Q57" s="1165"/>
    </row>
    <row r="58" spans="1:17" s="1134" customFormat="1" ht="16.5">
      <c r="A58" s="1139"/>
      <c r="B58" s="1172"/>
      <c r="C58" s="27">
        <v>1120</v>
      </c>
      <c r="D58" s="28" t="b">
        <f>D18=D5+D11</f>
        <v>1</v>
      </c>
      <c r="E58" s="38" t="s">
        <v>2762</v>
      </c>
      <c r="F58" s="1165"/>
      <c r="G58" s="1165"/>
      <c r="H58" s="1165"/>
      <c r="I58" s="1165"/>
      <c r="J58" s="1165"/>
      <c r="K58" s="1165"/>
      <c r="L58" s="1165"/>
      <c r="M58" s="1165"/>
      <c r="N58" s="1165"/>
      <c r="O58" s="1165"/>
      <c r="P58" s="1165"/>
      <c r="Q58" s="1165"/>
    </row>
    <row r="59" spans="1:17" s="1134" customFormat="1" ht="16.5">
      <c r="A59" s="1139"/>
      <c r="B59" s="1172"/>
      <c r="C59" s="27">
        <v>1130</v>
      </c>
      <c r="D59" s="28" t="b">
        <f>E18=E5+E11</f>
        <v>1</v>
      </c>
      <c r="E59" s="38" t="s">
        <v>2763</v>
      </c>
      <c r="F59" s="1165"/>
      <c r="G59" s="1165"/>
      <c r="H59" s="1165"/>
      <c r="I59" s="1165"/>
      <c r="J59" s="1165"/>
      <c r="K59" s="1165"/>
      <c r="L59" s="1165"/>
      <c r="M59" s="1165"/>
      <c r="N59" s="1165"/>
      <c r="O59" s="1165"/>
      <c r="P59" s="1165"/>
      <c r="Q59" s="1165"/>
    </row>
    <row r="60" spans="1:17" s="1134" customFormat="1" ht="16.5">
      <c r="A60" s="1139"/>
      <c r="B60" s="1172"/>
      <c r="C60" s="27">
        <v>1140</v>
      </c>
      <c r="D60" s="28" t="b">
        <f>F18=F5+F11</f>
        <v>1</v>
      </c>
      <c r="E60" s="38" t="s">
        <v>2764</v>
      </c>
      <c r="F60" s="1165"/>
      <c r="G60" s="1165"/>
      <c r="H60" s="1165"/>
      <c r="I60" s="1165"/>
      <c r="J60" s="1165"/>
      <c r="K60" s="1165"/>
      <c r="L60" s="1165"/>
      <c r="M60" s="1165"/>
      <c r="N60" s="1165"/>
      <c r="O60" s="1165"/>
      <c r="P60" s="1165"/>
      <c r="Q60" s="1165"/>
    </row>
    <row r="61" spans="1:17" s="1134" customFormat="1" ht="16.5">
      <c r="A61" s="1139"/>
      <c r="B61" s="1172"/>
      <c r="C61" s="27">
        <v>1150</v>
      </c>
      <c r="D61" s="28" t="b">
        <f>G18=G5+G11</f>
        <v>1</v>
      </c>
      <c r="E61" s="38" t="s">
        <v>2765</v>
      </c>
      <c r="F61" s="1165"/>
      <c r="G61" s="1165"/>
      <c r="H61" s="1165"/>
      <c r="I61" s="1165"/>
      <c r="J61" s="1165"/>
      <c r="K61" s="1165"/>
      <c r="L61" s="1165"/>
      <c r="M61" s="1165"/>
      <c r="N61" s="1165"/>
      <c r="O61" s="1165"/>
      <c r="P61" s="1165"/>
      <c r="Q61" s="1165"/>
    </row>
    <row r="62" spans="1:17" s="1134" customFormat="1" ht="16.5">
      <c r="A62" s="1135" t="s">
        <v>2969</v>
      </c>
      <c r="B62" s="1173"/>
      <c r="C62" s="1119">
        <v>1160</v>
      </c>
      <c r="D62" s="1120" t="b">
        <f>H18=H5+H11</f>
        <v>1</v>
      </c>
      <c r="E62" s="1121" t="s">
        <v>2948</v>
      </c>
      <c r="F62" s="1167"/>
      <c r="G62" s="1167"/>
      <c r="H62" s="1165"/>
      <c r="I62" s="1165"/>
      <c r="J62" s="1165"/>
      <c r="K62" s="1165"/>
      <c r="L62" s="1165"/>
      <c r="M62" s="1165"/>
      <c r="N62" s="1165"/>
      <c r="O62" s="1165"/>
      <c r="P62" s="1165"/>
      <c r="Q62" s="1165"/>
    </row>
    <row r="63" spans="1:17" s="1134" customFormat="1" ht="13.5">
      <c r="A63" s="1139"/>
      <c r="B63" s="1172"/>
      <c r="C63" s="27">
        <v>1170</v>
      </c>
      <c r="D63" s="28" t="b">
        <f>H18='1.1'!E8</f>
        <v>1</v>
      </c>
      <c r="E63" s="29" t="s">
        <v>2766</v>
      </c>
    </row>
    <row r="64" spans="1:17" s="1134" customFormat="1" ht="13.5">
      <c r="A64" s="1139"/>
      <c r="B64" s="1172"/>
      <c r="C64" s="27">
        <v>1180</v>
      </c>
      <c r="D64" s="28" t="b">
        <f>H5='9.b'!C4+'9.b'!D4+'9.b'!E4</f>
        <v>1</v>
      </c>
      <c r="E64" s="29" t="s">
        <v>2767</v>
      </c>
    </row>
    <row r="65" spans="1:8" s="1134" customFormat="1" ht="13.5">
      <c r="A65" s="1139"/>
      <c r="B65" s="1172"/>
      <c r="C65" s="27">
        <v>1190</v>
      </c>
      <c r="D65" s="28" t="b">
        <f>H6='9.b'!C5+'9.b'!D5+'9.b'!E5</f>
        <v>1</v>
      </c>
      <c r="E65" s="29" t="s">
        <v>2108</v>
      </c>
    </row>
    <row r="66" spans="1:8" s="1134" customFormat="1" ht="13.5">
      <c r="A66" s="1139"/>
      <c r="B66" s="1172"/>
      <c r="C66" s="27">
        <v>1200</v>
      </c>
      <c r="D66" s="28" t="b">
        <f>H7='9.b'!C6+'9.b'!D6+'9.b'!E6</f>
        <v>1</v>
      </c>
      <c r="E66" s="29" t="s">
        <v>2109</v>
      </c>
    </row>
    <row r="67" spans="1:8" s="1134" customFormat="1" ht="13.5">
      <c r="A67" s="1139"/>
      <c r="B67" s="1172"/>
      <c r="C67" s="27">
        <v>1210</v>
      </c>
      <c r="D67" s="28" t="b">
        <f>H8='9.b'!C7+'9.b'!D7+'9.b'!E7</f>
        <v>1</v>
      </c>
      <c r="E67" s="29" t="s">
        <v>2110</v>
      </c>
    </row>
    <row r="68" spans="1:8" s="1134" customFormat="1" ht="13.5">
      <c r="A68" s="1139"/>
      <c r="B68" s="1172"/>
      <c r="C68" s="27">
        <v>1220</v>
      </c>
      <c r="D68" s="28" t="b">
        <f>H9='9.b'!C8+'9.b'!D8+'9.b'!E8</f>
        <v>1</v>
      </c>
      <c r="E68" s="29" t="s">
        <v>2111</v>
      </c>
    </row>
    <row r="69" spans="1:8" s="1134" customFormat="1" ht="13.5">
      <c r="A69" s="1139"/>
      <c r="B69" s="1172"/>
      <c r="C69" s="27">
        <v>1230</v>
      </c>
      <c r="D69" s="28" t="b">
        <f>H10='9.b'!C9+'9.b'!D9+'9.b'!E9</f>
        <v>1</v>
      </c>
      <c r="E69" s="29" t="s">
        <v>2112</v>
      </c>
    </row>
    <row r="70" spans="1:8" s="1134" customFormat="1" ht="13.5">
      <c r="A70" s="1139"/>
      <c r="B70" s="1172"/>
      <c r="C70" s="27">
        <v>1240</v>
      </c>
      <c r="D70" s="28" t="b">
        <f>H11='9.b'!C10+'9.b'!D10+'9.b'!E10</f>
        <v>1</v>
      </c>
      <c r="E70" s="29" t="s">
        <v>2113</v>
      </c>
    </row>
    <row r="71" spans="1:8" s="1134" customFormat="1" ht="13.5">
      <c r="A71" s="1139"/>
      <c r="B71" s="1172"/>
      <c r="C71" s="27">
        <v>1250</v>
      </c>
      <c r="D71" s="28" t="b">
        <f>H12='9.b'!C11+'9.b'!D11+'9.b'!E11</f>
        <v>1</v>
      </c>
      <c r="E71" s="29" t="s">
        <v>2114</v>
      </c>
    </row>
    <row r="72" spans="1:8" s="1134" customFormat="1" ht="13.5">
      <c r="A72" s="1139"/>
      <c r="B72" s="1172"/>
      <c r="C72" s="27">
        <v>1260</v>
      </c>
      <c r="D72" s="28" t="b">
        <f>H13='9.b'!C12+'9.b'!D12+'9.b'!E12</f>
        <v>1</v>
      </c>
      <c r="E72" s="29" t="s">
        <v>2115</v>
      </c>
    </row>
    <row r="73" spans="1:8" s="1134" customFormat="1" ht="13.5">
      <c r="A73" s="1139"/>
      <c r="B73" s="1172"/>
      <c r="C73" s="27">
        <v>1270</v>
      </c>
      <c r="D73" s="28" t="b">
        <f>H14='9.b'!C13+'9.b'!D13+'9.b'!E13</f>
        <v>1</v>
      </c>
      <c r="E73" s="29" t="s">
        <v>2116</v>
      </c>
    </row>
    <row r="74" spans="1:8" s="1134" customFormat="1" ht="13.5">
      <c r="A74" s="1139"/>
      <c r="B74" s="1172"/>
      <c r="C74" s="27">
        <v>1280</v>
      </c>
      <c r="D74" s="28" t="b">
        <f>H15='9.b'!C14+'9.b'!D14+'9.b'!E14</f>
        <v>1</v>
      </c>
      <c r="E74" s="29" t="s">
        <v>2117</v>
      </c>
    </row>
    <row r="75" spans="1:8" s="1134" customFormat="1" ht="13.5">
      <c r="A75" s="1139"/>
      <c r="B75" s="1172"/>
      <c r="C75" s="27">
        <v>1290</v>
      </c>
      <c r="D75" s="28" t="b">
        <f>H16='9.b'!C15+'9.b'!D15+'9.b'!E15</f>
        <v>1</v>
      </c>
      <c r="E75" s="29" t="s">
        <v>454</v>
      </c>
    </row>
    <row r="76" spans="1:8" s="1134" customFormat="1" ht="13.5">
      <c r="A76" s="1135" t="s">
        <v>2969</v>
      </c>
      <c r="B76" s="1173"/>
      <c r="C76" s="1119">
        <v>1300</v>
      </c>
      <c r="D76" s="1120" t="b">
        <f>H18='9.b'!C16+'9.b'!D16+'9.b'!E16</f>
        <v>1</v>
      </c>
      <c r="E76" s="1125" t="s">
        <v>2949</v>
      </c>
      <c r="F76" s="1135"/>
      <c r="G76" s="1135"/>
      <c r="H76" s="1135"/>
    </row>
    <row r="77" spans="1:8" s="1134" customFormat="1" ht="13.5">
      <c r="A77" s="1135" t="s">
        <v>2969</v>
      </c>
      <c r="B77" s="1124"/>
      <c r="C77" s="1119">
        <v>1310</v>
      </c>
      <c r="D77" s="1120" t="b">
        <f>H17=0</f>
        <v>1</v>
      </c>
      <c r="E77" s="1125" t="s">
        <v>2945</v>
      </c>
      <c r="F77" s="1135"/>
      <c r="G77" s="1135"/>
      <c r="H77" s="1135"/>
    </row>
    <row r="78" spans="1:8" ht="13.5">
      <c r="A78" s="1139"/>
      <c r="B78" s="2"/>
      <c r="C78" s="2"/>
      <c r="D78" s="2"/>
    </row>
  </sheetData>
  <customSheetViews>
    <customSheetView guid="{5D819D0C-25F7-408A-B978-F4F86F7655CA}" showPageBreaks="1" showRuler="0" topLeftCell="A4">
      <selection activeCell="I14" sqref="I14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41" right="0.26" top="1" bottom="0.78" header="0.5" footer="0.5"/>
  <pageSetup paperSize="8" scale="133" orientation="landscape" r:id="rId4"/>
  <headerFooter alignWithMargins="0">
    <oddHeader xml:space="preserve">&amp;C9.A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0"/>
  <sheetViews>
    <sheetView showGridLines="0" workbookViewId="0"/>
  </sheetViews>
  <sheetFormatPr defaultRowHeight="12.75"/>
  <cols>
    <col min="1" max="1" width="43.140625" customWidth="1"/>
    <col min="2" max="2" width="8.42578125" bestFit="1" customWidth="1"/>
    <col min="4" max="4" width="10.5703125" customWidth="1"/>
    <col min="10" max="10" width="35.5703125" customWidth="1"/>
    <col min="11" max="11" width="31.7109375" customWidth="1"/>
  </cols>
  <sheetData>
    <row r="1" spans="1:8" ht="16.5" thickBot="1">
      <c r="A1" s="242" t="s">
        <v>2193</v>
      </c>
      <c r="B1" s="278"/>
      <c r="C1" s="279"/>
      <c r="D1" s="279"/>
      <c r="E1" s="279"/>
    </row>
    <row r="2" spans="1:8" ht="98.25" customHeight="1" thickBot="1">
      <c r="A2" s="277" t="s">
        <v>2194</v>
      </c>
      <c r="B2" s="381"/>
      <c r="C2" s="271" t="s">
        <v>2205</v>
      </c>
      <c r="D2" s="271" t="s">
        <v>2206</v>
      </c>
      <c r="E2" s="271" t="s">
        <v>1854</v>
      </c>
    </row>
    <row r="3" spans="1:8" s="2" customFormat="1" ht="17.25" customHeight="1" thickBot="1">
      <c r="A3" s="382"/>
      <c r="B3" s="282" t="s">
        <v>1135</v>
      </c>
      <c r="C3" s="247" t="s">
        <v>526</v>
      </c>
      <c r="D3" s="247" t="s">
        <v>1415</v>
      </c>
      <c r="E3" s="247" t="s">
        <v>1118</v>
      </c>
    </row>
    <row r="4" spans="1:8" ht="13.5" customHeight="1">
      <c r="A4" s="251" t="s">
        <v>1654</v>
      </c>
      <c r="B4" s="407">
        <v>7100</v>
      </c>
      <c r="C4" s="864">
        <f>SUM(C5:C9)</f>
        <v>250</v>
      </c>
      <c r="D4" s="833">
        <f>SUM(D5:D9)</f>
        <v>150</v>
      </c>
      <c r="E4" s="833">
        <f>SUM(E5:E9)</f>
        <v>100</v>
      </c>
    </row>
    <row r="5" spans="1:8" ht="15">
      <c r="A5" s="257" t="s">
        <v>1828</v>
      </c>
      <c r="B5" s="408">
        <v>7110</v>
      </c>
      <c r="C5" s="865">
        <v>50</v>
      </c>
      <c r="D5" s="832">
        <v>30</v>
      </c>
      <c r="E5" s="866">
        <v>20</v>
      </c>
    </row>
    <row r="6" spans="1:8" ht="15">
      <c r="A6" s="257" t="s">
        <v>1830</v>
      </c>
      <c r="B6" s="408">
        <v>7120</v>
      </c>
      <c r="C6" s="865">
        <v>50</v>
      </c>
      <c r="D6" s="832">
        <v>30</v>
      </c>
      <c r="E6" s="866">
        <v>20</v>
      </c>
    </row>
    <row r="7" spans="1:8" ht="15">
      <c r="A7" s="257" t="s">
        <v>1849</v>
      </c>
      <c r="B7" s="408">
        <v>7130</v>
      </c>
      <c r="C7" s="865">
        <v>50</v>
      </c>
      <c r="D7" s="832">
        <v>30</v>
      </c>
      <c r="E7" s="866">
        <v>20</v>
      </c>
    </row>
    <row r="8" spans="1:8" ht="15">
      <c r="A8" s="257" t="s">
        <v>1425</v>
      </c>
      <c r="B8" s="408">
        <v>7140</v>
      </c>
      <c r="C8" s="865">
        <v>50</v>
      </c>
      <c r="D8" s="832">
        <v>30</v>
      </c>
      <c r="E8" s="866">
        <v>20</v>
      </c>
    </row>
    <row r="9" spans="1:8" ht="15">
      <c r="A9" s="257" t="s">
        <v>1851</v>
      </c>
      <c r="B9" s="408">
        <v>7150</v>
      </c>
      <c r="C9" s="865">
        <v>50</v>
      </c>
      <c r="D9" s="832">
        <v>30</v>
      </c>
      <c r="E9" s="866">
        <v>20</v>
      </c>
    </row>
    <row r="10" spans="1:8" ht="15">
      <c r="A10" s="251" t="s">
        <v>1653</v>
      </c>
      <c r="B10" s="408">
        <v>7160</v>
      </c>
      <c r="C10" s="867">
        <f>SUM(C11:C15)</f>
        <v>250</v>
      </c>
      <c r="D10" s="833">
        <f>SUM(D11:D15)</f>
        <v>150</v>
      </c>
      <c r="E10" s="833">
        <f>SUM(E11:E15)</f>
        <v>100</v>
      </c>
    </row>
    <row r="11" spans="1:8" ht="15">
      <c r="A11" s="257" t="s">
        <v>1828</v>
      </c>
      <c r="B11" s="408">
        <v>7170</v>
      </c>
      <c r="C11" s="865">
        <v>50</v>
      </c>
      <c r="D11" s="832">
        <v>30</v>
      </c>
      <c r="E11" s="866">
        <v>20</v>
      </c>
    </row>
    <row r="12" spans="1:8" ht="15">
      <c r="A12" s="257" t="s">
        <v>1830</v>
      </c>
      <c r="B12" s="408">
        <v>7180</v>
      </c>
      <c r="C12" s="865">
        <v>50</v>
      </c>
      <c r="D12" s="832">
        <v>30</v>
      </c>
      <c r="E12" s="866">
        <v>20</v>
      </c>
    </row>
    <row r="13" spans="1:8" ht="15">
      <c r="A13" s="257" t="s">
        <v>1849</v>
      </c>
      <c r="B13" s="408">
        <v>7190</v>
      </c>
      <c r="C13" s="865">
        <v>50</v>
      </c>
      <c r="D13" s="832">
        <v>30</v>
      </c>
      <c r="E13" s="866">
        <v>20</v>
      </c>
    </row>
    <row r="14" spans="1:8" ht="15">
      <c r="A14" s="257" t="s">
        <v>1850</v>
      </c>
      <c r="B14" s="408">
        <v>7200</v>
      </c>
      <c r="C14" s="865">
        <v>50</v>
      </c>
      <c r="D14" s="832">
        <v>30</v>
      </c>
      <c r="E14" s="866">
        <v>20</v>
      </c>
    </row>
    <row r="15" spans="1:8" ht="15.75" thickBot="1">
      <c r="A15" s="257" t="s">
        <v>1851</v>
      </c>
      <c r="B15" s="408">
        <v>7210</v>
      </c>
      <c r="C15" s="865">
        <v>50</v>
      </c>
      <c r="D15" s="856">
        <v>30</v>
      </c>
      <c r="E15" s="866">
        <v>20</v>
      </c>
    </row>
    <row r="16" spans="1:8" ht="15.75" thickBot="1">
      <c r="A16" s="285" t="s">
        <v>1059</v>
      </c>
      <c r="B16" s="409">
        <v>7999</v>
      </c>
      <c r="C16" s="855">
        <f>SUM(C4,C10)</f>
        <v>500</v>
      </c>
      <c r="D16" s="868">
        <f>SUM(D4,D10)</f>
        <v>300</v>
      </c>
      <c r="E16" s="868">
        <f>SUM(E4,E10)</f>
        <v>200</v>
      </c>
      <c r="F16" s="829">
        <f>'1.1'!F8</f>
        <v>500</v>
      </c>
      <c r="G16" s="829">
        <f>'1.1'!G8</f>
        <v>300</v>
      </c>
      <c r="H16" s="829">
        <f>'1.1'!H8</f>
        <v>200</v>
      </c>
    </row>
    <row r="17" spans="1:17" ht="15.75">
      <c r="A17" s="23"/>
      <c r="B17" s="24"/>
      <c r="C17" s="1194"/>
      <c r="D17" s="1194"/>
      <c r="E17" s="1194"/>
    </row>
    <row r="18" spans="1:17">
      <c r="A18" s="9"/>
    </row>
    <row r="19" spans="1:17" s="12" customFormat="1" ht="15.75">
      <c r="A19" s="41"/>
      <c r="B19" s="1107"/>
      <c r="C19" s="27">
        <v>1310</v>
      </c>
      <c r="D19" s="28" t="b">
        <f>C16=C4+C10</f>
        <v>1</v>
      </c>
      <c r="E19" s="38" t="s">
        <v>2118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12" customFormat="1" ht="15.75">
      <c r="A20" s="41"/>
      <c r="B20" s="1107"/>
      <c r="C20" s="27">
        <v>1320</v>
      </c>
      <c r="D20" s="28" t="b">
        <f>D16=D4+D10</f>
        <v>1</v>
      </c>
      <c r="E20" s="38" t="s">
        <v>2119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s="12" customFormat="1" ht="15.75">
      <c r="A21" s="41"/>
      <c r="B21" s="1107"/>
      <c r="C21" s="27">
        <v>1330</v>
      </c>
      <c r="D21" s="28" t="b">
        <f>E16=E4+E10</f>
        <v>1</v>
      </c>
      <c r="E21" s="38" t="s">
        <v>2120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s="12" customFormat="1" ht="15.75">
      <c r="A22" s="41"/>
      <c r="B22" s="1107"/>
      <c r="C22" s="27">
        <v>1340</v>
      </c>
      <c r="D22" s="28" t="b">
        <f>C4=SUM(C5:C9)</f>
        <v>1</v>
      </c>
      <c r="E22" s="38" t="s">
        <v>2121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s="12" customFormat="1" ht="15.75">
      <c r="A23" s="41"/>
      <c r="B23" s="1107"/>
      <c r="C23" s="27">
        <v>1350</v>
      </c>
      <c r="D23" s="28" t="b">
        <f>D4=SUM(D5:D9)</f>
        <v>1</v>
      </c>
      <c r="E23" s="38" t="s">
        <v>2122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12" customFormat="1" ht="15.75">
      <c r="A24" s="41"/>
      <c r="B24" s="1107"/>
      <c r="C24" s="27">
        <v>1360</v>
      </c>
      <c r="D24" s="28" t="b">
        <f>E4=SUM(E5:E9)</f>
        <v>1</v>
      </c>
      <c r="E24" s="38" t="s">
        <v>2123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s="12" customFormat="1" ht="15.75">
      <c r="A25" s="41"/>
      <c r="B25" s="1107"/>
      <c r="C25" s="27">
        <v>1370</v>
      </c>
      <c r="D25" s="28" t="b">
        <f>C10=SUM(C11:C15)</f>
        <v>1</v>
      </c>
      <c r="E25" s="38" t="s">
        <v>2124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12" customFormat="1" ht="15.75">
      <c r="A26" s="41"/>
      <c r="B26" s="1107"/>
      <c r="C26" s="27">
        <v>1380</v>
      </c>
      <c r="D26" s="28" t="b">
        <f>D10=SUM(D11:D15)</f>
        <v>1</v>
      </c>
      <c r="E26" s="38" t="s">
        <v>2125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s="12" customFormat="1" ht="15.75">
      <c r="A27" s="41"/>
      <c r="B27" s="1107"/>
      <c r="C27" s="27">
        <v>1390</v>
      </c>
      <c r="D27" s="28" t="b">
        <f>E10=SUM(E11:E15)</f>
        <v>1</v>
      </c>
      <c r="E27" s="38" t="s">
        <v>2126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3.5">
      <c r="A28" s="1135" t="s">
        <v>2969</v>
      </c>
      <c r="B28" s="1127"/>
      <c r="C28" s="1119">
        <v>1400</v>
      </c>
      <c r="D28" s="1120" t="b">
        <f>C16='1.1'!F8</f>
        <v>1</v>
      </c>
      <c r="E28" s="1121" t="s">
        <v>2950</v>
      </c>
      <c r="F28" s="1126"/>
      <c r="G28" s="1126"/>
      <c r="H28" s="1126"/>
      <c r="I28" s="2"/>
      <c r="J28" s="2"/>
      <c r="K28" s="2"/>
      <c r="L28" s="2"/>
    </row>
    <row r="29" spans="1:17" ht="13.5">
      <c r="A29" s="1135" t="s">
        <v>2969</v>
      </c>
      <c r="B29" s="1127"/>
      <c r="C29" s="1119">
        <v>1410</v>
      </c>
      <c r="D29" s="1120" t="b">
        <f>D16='1.1'!G8</f>
        <v>1</v>
      </c>
      <c r="E29" s="1121" t="s">
        <v>2951</v>
      </c>
      <c r="F29" s="1126"/>
      <c r="G29" s="1126"/>
      <c r="H29" s="1126"/>
    </row>
    <row r="30" spans="1:17" ht="13.5">
      <c r="A30" s="1135" t="s">
        <v>2969</v>
      </c>
      <c r="B30" s="1127"/>
      <c r="C30" s="1119">
        <v>1420</v>
      </c>
      <c r="D30" s="1120" t="b">
        <f>E16='1.1'!H8</f>
        <v>1</v>
      </c>
      <c r="E30" s="1121" t="s">
        <v>2952</v>
      </c>
      <c r="F30" s="1126"/>
      <c r="G30" s="1126"/>
      <c r="H30" s="1126"/>
    </row>
  </sheetData>
  <customSheetViews>
    <customSheetView guid="{5D819D0C-25F7-408A-B978-F4F86F7655CA}" showPageBreaks="1" showRuler="0">
      <selection activeCell="F4" sqref="F4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17:E17"/>
  </mergeCells>
  <phoneticPr fontId="8" type="noConversion"/>
  <pageMargins left="0.75" right="0.75" top="1" bottom="1" header="0.5" footer="0.5"/>
  <pageSetup paperSize="8" scale="200" orientation="landscape" r:id="rId4"/>
  <headerFooter alignWithMargins="0">
    <oddHeader>&amp;C9.B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="75" zoomScaleNormal="75" zoomScaleSheetLayoutView="75" workbookViewId="0"/>
  </sheetViews>
  <sheetFormatPr defaultRowHeight="12.75"/>
  <cols>
    <col min="1" max="1" width="50.42578125" customWidth="1"/>
    <col min="2" max="2" width="15.42578125" style="4" customWidth="1"/>
    <col min="3" max="3" width="8.85546875" style="4" customWidth="1"/>
    <col min="4" max="4" width="9.28515625" customWidth="1"/>
    <col min="5" max="5" width="10" bestFit="1" customWidth="1"/>
    <col min="6" max="6" width="9.85546875" customWidth="1"/>
    <col min="7" max="7" width="9.28515625" customWidth="1"/>
    <col min="11" max="11" width="9.7109375" customWidth="1"/>
    <col min="12" max="12" width="27.28515625" customWidth="1"/>
    <col min="13" max="13" width="19.85546875" customWidth="1"/>
  </cols>
  <sheetData>
    <row r="1" spans="1:11" ht="16.5" thickBot="1">
      <c r="A1" s="242" t="s">
        <v>2605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213.75" customHeight="1" thickBot="1">
      <c r="A2" s="410"/>
      <c r="B2" s="367"/>
      <c r="C2" s="368"/>
      <c r="D2" s="270" t="s">
        <v>2515</v>
      </c>
      <c r="E2" s="270" t="s">
        <v>2512</v>
      </c>
      <c r="F2" s="270" t="s">
        <v>2513</v>
      </c>
      <c r="G2" s="270" t="s">
        <v>2514</v>
      </c>
      <c r="H2" s="270" t="s">
        <v>2606</v>
      </c>
      <c r="I2" s="270" t="s">
        <v>1000</v>
      </c>
      <c r="J2" s="270" t="s">
        <v>1001</v>
      </c>
      <c r="K2" s="270" t="s">
        <v>1116</v>
      </c>
    </row>
    <row r="3" spans="1:11" ht="73.5" customHeight="1" thickBot="1">
      <c r="A3" s="367"/>
      <c r="B3" s="411" t="s">
        <v>2516</v>
      </c>
      <c r="C3" s="412"/>
      <c r="D3" s="1201" t="s">
        <v>2196</v>
      </c>
      <c r="E3" s="1202"/>
      <c r="F3" s="1202"/>
      <c r="G3" s="1202"/>
      <c r="H3" s="1202"/>
      <c r="I3" s="1202"/>
      <c r="J3" s="1202"/>
      <c r="K3" s="1203"/>
    </row>
    <row r="4" spans="1:11" s="2" customFormat="1" ht="15.75" thickBot="1">
      <c r="A4" s="413"/>
      <c r="B4" s="349"/>
      <c r="C4" s="414" t="s">
        <v>1012</v>
      </c>
      <c r="D4" s="415" t="s">
        <v>1013</v>
      </c>
      <c r="E4" s="292" t="s">
        <v>1014</v>
      </c>
      <c r="F4" s="292" t="s">
        <v>1015</v>
      </c>
      <c r="G4" s="292" t="s">
        <v>1016</v>
      </c>
      <c r="H4" s="292" t="s">
        <v>525</v>
      </c>
      <c r="I4" s="292" t="s">
        <v>526</v>
      </c>
      <c r="J4" s="292" t="s">
        <v>1415</v>
      </c>
      <c r="K4" s="293" t="s">
        <v>1118</v>
      </c>
    </row>
    <row r="5" spans="1:11" ht="15.75" thickBot="1">
      <c r="A5" s="416" t="s">
        <v>141</v>
      </c>
      <c r="B5" s="417" t="s">
        <v>2196</v>
      </c>
      <c r="C5" s="342">
        <v>7100</v>
      </c>
      <c r="D5" s="872"/>
      <c r="E5" s="872"/>
      <c r="F5" s="872"/>
      <c r="G5" s="872"/>
      <c r="H5" s="873">
        <f>SUM(H6:H8)</f>
        <v>87</v>
      </c>
      <c r="I5" s="873">
        <f>SUM(I6:I8)</f>
        <v>30</v>
      </c>
      <c r="J5" s="873">
        <f>SUM(J6:J8)</f>
        <v>15</v>
      </c>
      <c r="K5" s="873">
        <f>SUM(K6:K8)</f>
        <v>60</v>
      </c>
    </row>
    <row r="6" spans="1:11" ht="15.75" thickBot="1">
      <c r="A6" s="419" t="s">
        <v>1822</v>
      </c>
      <c r="B6" s="335" t="s">
        <v>1823</v>
      </c>
      <c r="C6" s="250">
        <v>7110</v>
      </c>
      <c r="D6" s="874"/>
      <c r="E6" s="874"/>
      <c r="F6" s="874"/>
      <c r="G6" s="874"/>
      <c r="H6" s="841">
        <v>29</v>
      </c>
      <c r="I6" s="841">
        <v>10</v>
      </c>
      <c r="J6" s="841">
        <v>5</v>
      </c>
      <c r="K6" s="841">
        <v>20</v>
      </c>
    </row>
    <row r="7" spans="1:11" ht="15.75" thickBot="1">
      <c r="A7" s="419" t="s">
        <v>1824</v>
      </c>
      <c r="B7" s="335" t="s">
        <v>1825</v>
      </c>
      <c r="C7" s="250">
        <v>7120</v>
      </c>
      <c r="D7" s="874"/>
      <c r="E7" s="874"/>
      <c r="F7" s="874"/>
      <c r="G7" s="874"/>
      <c r="H7" s="841">
        <v>29</v>
      </c>
      <c r="I7" s="841">
        <v>10</v>
      </c>
      <c r="J7" s="841">
        <v>5</v>
      </c>
      <c r="K7" s="841">
        <v>20</v>
      </c>
    </row>
    <row r="8" spans="1:11" ht="15.75" thickBot="1">
      <c r="A8" s="419" t="s">
        <v>1826</v>
      </c>
      <c r="B8" s="335" t="s">
        <v>1413</v>
      </c>
      <c r="C8" s="250">
        <v>7130</v>
      </c>
      <c r="D8" s="874"/>
      <c r="E8" s="874"/>
      <c r="F8" s="874"/>
      <c r="G8" s="874"/>
      <c r="H8" s="841">
        <v>29</v>
      </c>
      <c r="I8" s="841">
        <v>10</v>
      </c>
      <c r="J8" s="841">
        <v>5</v>
      </c>
      <c r="K8" s="841">
        <v>20</v>
      </c>
    </row>
    <row r="9" spans="1:11" ht="15.75" thickBot="1">
      <c r="A9" s="416" t="s">
        <v>2197</v>
      </c>
      <c r="B9" s="417" t="s">
        <v>2196</v>
      </c>
      <c r="C9" s="250">
        <v>7140</v>
      </c>
      <c r="D9" s="873">
        <f>SUM(D10:D14)</f>
        <v>30</v>
      </c>
      <c r="E9" s="873">
        <f t="shared" ref="E9:J9" si="0">SUM(E10:E14)</f>
        <v>25</v>
      </c>
      <c r="F9" s="873">
        <f t="shared" si="0"/>
        <v>20</v>
      </c>
      <c r="G9" s="873">
        <f t="shared" si="0"/>
        <v>15</v>
      </c>
      <c r="H9" s="873">
        <f t="shared" si="0"/>
        <v>167</v>
      </c>
      <c r="I9" s="873">
        <f t="shared" si="0"/>
        <v>50</v>
      </c>
      <c r="J9" s="873">
        <f t="shared" si="0"/>
        <v>25</v>
      </c>
      <c r="K9" s="875">
        <v>100</v>
      </c>
    </row>
    <row r="10" spans="1:11" ht="15.75" thickBot="1">
      <c r="A10" s="782" t="s">
        <v>1828</v>
      </c>
      <c r="B10" s="417" t="s">
        <v>1829</v>
      </c>
      <c r="C10" s="250">
        <v>7150</v>
      </c>
      <c r="D10" s="875">
        <v>6</v>
      </c>
      <c r="E10" s="875">
        <v>5</v>
      </c>
      <c r="F10" s="875">
        <v>4</v>
      </c>
      <c r="G10" s="875">
        <v>3</v>
      </c>
      <c r="H10" s="875">
        <v>33</v>
      </c>
      <c r="I10" s="875">
        <v>10</v>
      </c>
      <c r="J10" s="875">
        <v>5</v>
      </c>
      <c r="K10" s="874"/>
    </row>
    <row r="11" spans="1:11" ht="15.75" thickBot="1">
      <c r="A11" s="782" t="s">
        <v>1830</v>
      </c>
      <c r="B11" s="417" t="s">
        <v>1829</v>
      </c>
      <c r="C11" s="250">
        <v>7160</v>
      </c>
      <c r="D11" s="875">
        <v>6</v>
      </c>
      <c r="E11" s="875">
        <v>5</v>
      </c>
      <c r="F11" s="875">
        <v>4</v>
      </c>
      <c r="G11" s="875">
        <v>3</v>
      </c>
      <c r="H11" s="875">
        <v>33</v>
      </c>
      <c r="I11" s="875">
        <v>10</v>
      </c>
      <c r="J11" s="875">
        <v>5</v>
      </c>
      <c r="K11" s="874"/>
    </row>
    <row r="12" spans="1:11" ht="15.75" thickBot="1">
      <c r="A12" s="782" t="s">
        <v>1849</v>
      </c>
      <c r="B12" s="417" t="s">
        <v>1829</v>
      </c>
      <c r="C12" s="250">
        <v>7170</v>
      </c>
      <c r="D12" s="875">
        <v>6</v>
      </c>
      <c r="E12" s="875">
        <v>5</v>
      </c>
      <c r="F12" s="875">
        <v>4</v>
      </c>
      <c r="G12" s="875">
        <v>3</v>
      </c>
      <c r="H12" s="875">
        <v>33</v>
      </c>
      <c r="I12" s="875">
        <v>10</v>
      </c>
      <c r="J12" s="875">
        <v>5</v>
      </c>
      <c r="K12" s="874"/>
    </row>
    <row r="13" spans="1:11" ht="15.75" thickBot="1">
      <c r="A13" s="782" t="s">
        <v>1425</v>
      </c>
      <c r="B13" s="417" t="s">
        <v>1829</v>
      </c>
      <c r="C13" s="250">
        <v>7180</v>
      </c>
      <c r="D13" s="875">
        <v>6</v>
      </c>
      <c r="E13" s="875">
        <v>5</v>
      </c>
      <c r="F13" s="875">
        <v>4</v>
      </c>
      <c r="G13" s="875">
        <v>3</v>
      </c>
      <c r="H13" s="875">
        <v>33</v>
      </c>
      <c r="I13" s="875">
        <v>10</v>
      </c>
      <c r="J13" s="875">
        <v>5</v>
      </c>
      <c r="K13" s="874"/>
    </row>
    <row r="14" spans="1:11" ht="15.75" thickBot="1">
      <c r="A14" s="782" t="s">
        <v>1851</v>
      </c>
      <c r="B14" s="417" t="s">
        <v>1829</v>
      </c>
      <c r="C14" s="250">
        <v>7190</v>
      </c>
      <c r="D14" s="875">
        <v>6</v>
      </c>
      <c r="E14" s="875">
        <v>5</v>
      </c>
      <c r="F14" s="875">
        <v>4</v>
      </c>
      <c r="G14" s="875">
        <v>3</v>
      </c>
      <c r="H14" s="875">
        <v>35</v>
      </c>
      <c r="I14" s="875">
        <v>10</v>
      </c>
      <c r="J14" s="875">
        <v>5</v>
      </c>
      <c r="K14" s="874"/>
    </row>
    <row r="15" spans="1:11" ht="15.75" thickBot="1">
      <c r="A15" s="416" t="s">
        <v>2601</v>
      </c>
      <c r="B15" s="417" t="s">
        <v>2196</v>
      </c>
      <c r="C15" s="250">
        <v>7200</v>
      </c>
      <c r="D15" s="873">
        <f>SUM(D16:D20)</f>
        <v>184</v>
      </c>
      <c r="E15" s="873">
        <f t="shared" ref="E15:J15" si="1">SUM(E16:E20)</f>
        <v>188</v>
      </c>
      <c r="F15" s="873">
        <f t="shared" si="1"/>
        <v>192</v>
      </c>
      <c r="G15" s="873">
        <f t="shared" si="1"/>
        <v>192</v>
      </c>
      <c r="H15" s="873">
        <f t="shared" si="1"/>
        <v>220</v>
      </c>
      <c r="I15" s="873">
        <f t="shared" si="1"/>
        <v>240</v>
      </c>
      <c r="J15" s="873">
        <f t="shared" si="1"/>
        <v>192</v>
      </c>
      <c r="K15" s="875">
        <v>240</v>
      </c>
    </row>
    <row r="16" spans="1:11" ht="15.75" thickBot="1">
      <c r="A16" s="782" t="s">
        <v>1828</v>
      </c>
      <c r="B16" s="417" t="s">
        <v>1829</v>
      </c>
      <c r="C16" s="250">
        <v>7210</v>
      </c>
      <c r="D16" s="875">
        <v>10</v>
      </c>
      <c r="E16" s="875">
        <v>11</v>
      </c>
      <c r="F16" s="875">
        <v>12</v>
      </c>
      <c r="G16" s="875">
        <v>12</v>
      </c>
      <c r="H16" s="875">
        <v>19</v>
      </c>
      <c r="I16" s="875">
        <v>24</v>
      </c>
      <c r="J16" s="875">
        <v>12</v>
      </c>
      <c r="K16" s="874"/>
    </row>
    <row r="17" spans="1:11" ht="15.75" thickBot="1">
      <c r="A17" s="782" t="s">
        <v>1830</v>
      </c>
      <c r="B17" s="417" t="s">
        <v>1829</v>
      </c>
      <c r="C17" s="250">
        <v>7220</v>
      </c>
      <c r="D17" s="875">
        <v>10</v>
      </c>
      <c r="E17" s="875">
        <v>11</v>
      </c>
      <c r="F17" s="875">
        <v>12</v>
      </c>
      <c r="G17" s="875">
        <v>12</v>
      </c>
      <c r="H17" s="875">
        <v>19</v>
      </c>
      <c r="I17" s="875">
        <v>24</v>
      </c>
      <c r="J17" s="875">
        <v>12</v>
      </c>
      <c r="K17" s="874"/>
    </row>
    <row r="18" spans="1:11" ht="15.75" thickBot="1">
      <c r="A18" s="782" t="s">
        <v>1849</v>
      </c>
      <c r="B18" s="417" t="s">
        <v>1829</v>
      </c>
      <c r="C18" s="250">
        <v>7230</v>
      </c>
      <c r="D18" s="875">
        <v>10</v>
      </c>
      <c r="E18" s="875">
        <v>11</v>
      </c>
      <c r="F18" s="875">
        <v>12</v>
      </c>
      <c r="G18" s="875">
        <v>12</v>
      </c>
      <c r="H18" s="875">
        <v>19</v>
      </c>
      <c r="I18" s="875">
        <v>24</v>
      </c>
      <c r="J18" s="875">
        <v>12</v>
      </c>
      <c r="K18" s="874"/>
    </row>
    <row r="19" spans="1:11" ht="15.75" thickBot="1">
      <c r="A19" s="782" t="s">
        <v>1425</v>
      </c>
      <c r="B19" s="417" t="s">
        <v>1829</v>
      </c>
      <c r="C19" s="250">
        <v>7240</v>
      </c>
      <c r="D19" s="875">
        <v>10</v>
      </c>
      <c r="E19" s="875">
        <v>11</v>
      </c>
      <c r="F19" s="875">
        <v>12</v>
      </c>
      <c r="G19" s="875">
        <v>12</v>
      </c>
      <c r="H19" s="875">
        <v>19</v>
      </c>
      <c r="I19" s="875">
        <v>24</v>
      </c>
      <c r="J19" s="875">
        <v>12</v>
      </c>
      <c r="K19" s="874"/>
    </row>
    <row r="20" spans="1:11" ht="15.75" thickBot="1">
      <c r="A20" s="782" t="s">
        <v>1851</v>
      </c>
      <c r="B20" s="417" t="s">
        <v>1829</v>
      </c>
      <c r="C20" s="250">
        <v>7250</v>
      </c>
      <c r="D20" s="873">
        <f>SUM(D21:D28)</f>
        <v>144</v>
      </c>
      <c r="E20" s="873">
        <f t="shared" ref="E20:J20" si="2">SUM(E21:E28)</f>
        <v>144</v>
      </c>
      <c r="F20" s="873">
        <f t="shared" si="2"/>
        <v>144</v>
      </c>
      <c r="G20" s="873">
        <f t="shared" si="2"/>
        <v>144</v>
      </c>
      <c r="H20" s="873">
        <f t="shared" si="2"/>
        <v>144</v>
      </c>
      <c r="I20" s="873">
        <f t="shared" si="2"/>
        <v>144</v>
      </c>
      <c r="J20" s="873">
        <f t="shared" si="2"/>
        <v>144</v>
      </c>
      <c r="K20" s="874"/>
    </row>
    <row r="21" spans="1:11" ht="15.75" thickBot="1">
      <c r="A21" s="783" t="s">
        <v>811</v>
      </c>
      <c r="B21" s="417" t="s">
        <v>1829</v>
      </c>
      <c r="C21" s="250">
        <v>7260</v>
      </c>
      <c r="D21" s="875">
        <v>18</v>
      </c>
      <c r="E21" s="875">
        <v>18</v>
      </c>
      <c r="F21" s="875">
        <v>18</v>
      </c>
      <c r="G21" s="875">
        <v>18</v>
      </c>
      <c r="H21" s="875">
        <v>18</v>
      </c>
      <c r="I21" s="875">
        <v>18</v>
      </c>
      <c r="J21" s="875">
        <v>18</v>
      </c>
      <c r="K21" s="874"/>
    </row>
    <row r="22" spans="1:11" ht="15.75" thickBot="1">
      <c r="A22" s="783" t="s">
        <v>812</v>
      </c>
      <c r="B22" s="417" t="s">
        <v>1829</v>
      </c>
      <c r="C22" s="250">
        <v>7270</v>
      </c>
      <c r="D22" s="875">
        <v>18</v>
      </c>
      <c r="E22" s="875">
        <v>18</v>
      </c>
      <c r="F22" s="875">
        <v>18</v>
      </c>
      <c r="G22" s="875">
        <v>18</v>
      </c>
      <c r="H22" s="875">
        <v>18</v>
      </c>
      <c r="I22" s="875">
        <v>18</v>
      </c>
      <c r="J22" s="875">
        <v>18</v>
      </c>
      <c r="K22" s="874"/>
    </row>
    <row r="23" spans="1:11" ht="15.75" thickBot="1">
      <c r="A23" s="783" t="s">
        <v>813</v>
      </c>
      <c r="B23" s="417" t="s">
        <v>1829</v>
      </c>
      <c r="C23" s="250">
        <v>7280</v>
      </c>
      <c r="D23" s="875">
        <v>18</v>
      </c>
      <c r="E23" s="875">
        <v>18</v>
      </c>
      <c r="F23" s="875">
        <v>18</v>
      </c>
      <c r="G23" s="875">
        <v>18</v>
      </c>
      <c r="H23" s="875">
        <v>18</v>
      </c>
      <c r="I23" s="875">
        <v>18</v>
      </c>
      <c r="J23" s="875">
        <v>18</v>
      </c>
      <c r="K23" s="874"/>
    </row>
    <row r="24" spans="1:11" ht="15.75" thickBot="1">
      <c r="A24" s="783" t="s">
        <v>814</v>
      </c>
      <c r="B24" s="417" t="s">
        <v>1829</v>
      </c>
      <c r="C24" s="250">
        <v>7290</v>
      </c>
      <c r="D24" s="875">
        <v>18</v>
      </c>
      <c r="E24" s="875">
        <v>18</v>
      </c>
      <c r="F24" s="875">
        <v>18</v>
      </c>
      <c r="G24" s="875">
        <v>18</v>
      </c>
      <c r="H24" s="875">
        <v>18</v>
      </c>
      <c r="I24" s="875">
        <v>18</v>
      </c>
      <c r="J24" s="875">
        <v>18</v>
      </c>
      <c r="K24" s="874"/>
    </row>
    <row r="25" spans="1:11" ht="15.75" thickBot="1">
      <c r="A25" s="783" t="s">
        <v>815</v>
      </c>
      <c r="B25" s="417" t="s">
        <v>1829</v>
      </c>
      <c r="C25" s="250">
        <v>7300</v>
      </c>
      <c r="D25" s="875">
        <v>18</v>
      </c>
      <c r="E25" s="875">
        <v>18</v>
      </c>
      <c r="F25" s="875">
        <v>18</v>
      </c>
      <c r="G25" s="875">
        <v>18</v>
      </c>
      <c r="H25" s="875">
        <v>18</v>
      </c>
      <c r="I25" s="875">
        <v>18</v>
      </c>
      <c r="J25" s="875">
        <v>18</v>
      </c>
      <c r="K25" s="874"/>
    </row>
    <row r="26" spans="1:11" ht="15.75" thickBot="1">
      <c r="A26" s="783" t="s">
        <v>816</v>
      </c>
      <c r="B26" s="417" t="s">
        <v>1829</v>
      </c>
      <c r="C26" s="250">
        <v>7310</v>
      </c>
      <c r="D26" s="875">
        <v>18</v>
      </c>
      <c r="E26" s="875">
        <v>18</v>
      </c>
      <c r="F26" s="875">
        <v>18</v>
      </c>
      <c r="G26" s="875">
        <v>18</v>
      </c>
      <c r="H26" s="875">
        <v>18</v>
      </c>
      <c r="I26" s="875">
        <v>18</v>
      </c>
      <c r="J26" s="875">
        <v>18</v>
      </c>
      <c r="K26" s="874"/>
    </row>
    <row r="27" spans="1:11" ht="15.75" thickBot="1">
      <c r="A27" s="783" t="s">
        <v>817</v>
      </c>
      <c r="B27" s="417" t="s">
        <v>1829</v>
      </c>
      <c r="C27" s="250">
        <v>7320</v>
      </c>
      <c r="D27" s="875">
        <v>18</v>
      </c>
      <c r="E27" s="875">
        <v>18</v>
      </c>
      <c r="F27" s="875">
        <v>18</v>
      </c>
      <c r="G27" s="875">
        <v>18</v>
      </c>
      <c r="H27" s="875">
        <v>18</v>
      </c>
      <c r="I27" s="875">
        <v>18</v>
      </c>
      <c r="J27" s="875">
        <v>18</v>
      </c>
      <c r="K27" s="874"/>
    </row>
    <row r="28" spans="1:11" ht="15.75" thickBot="1">
      <c r="A28" s="783" t="s">
        <v>818</v>
      </c>
      <c r="B28" s="417" t="s">
        <v>1829</v>
      </c>
      <c r="C28" s="250">
        <v>7330</v>
      </c>
      <c r="D28" s="875">
        <v>18</v>
      </c>
      <c r="E28" s="875">
        <v>18</v>
      </c>
      <c r="F28" s="875">
        <v>18</v>
      </c>
      <c r="G28" s="875">
        <v>18</v>
      </c>
      <c r="H28" s="875">
        <v>18</v>
      </c>
      <c r="I28" s="875">
        <v>18</v>
      </c>
      <c r="J28" s="875">
        <v>18</v>
      </c>
      <c r="K28" s="874"/>
    </row>
    <row r="29" spans="1:11" ht="18" customHeight="1" thickBot="1">
      <c r="A29" s="416" t="s">
        <v>2602</v>
      </c>
      <c r="B29" s="417" t="s">
        <v>2196</v>
      </c>
      <c r="C29" s="336">
        <v>7340</v>
      </c>
      <c r="D29" s="875">
        <v>12</v>
      </c>
      <c r="E29" s="875">
        <v>12</v>
      </c>
      <c r="F29" s="875">
        <v>12</v>
      </c>
      <c r="G29" s="875">
        <v>12</v>
      </c>
      <c r="H29" s="875">
        <v>12</v>
      </c>
      <c r="I29" s="875">
        <v>12</v>
      </c>
      <c r="J29" s="875">
        <v>12</v>
      </c>
      <c r="K29" s="876">
        <v>12</v>
      </c>
    </row>
    <row r="30" spans="1:11" ht="18.75" customHeight="1" thickBot="1">
      <c r="A30" s="429" t="s">
        <v>1059</v>
      </c>
      <c r="B30" s="421"/>
      <c r="C30" s="341">
        <v>7399</v>
      </c>
      <c r="D30" s="877">
        <f>SUM(D29,D15,D9,D5)</f>
        <v>226</v>
      </c>
      <c r="E30" s="877">
        <f t="shared" ref="E30:J30" si="3">SUM(E29,E15,E9,E5)</f>
        <v>225</v>
      </c>
      <c r="F30" s="877">
        <f t="shared" si="3"/>
        <v>224</v>
      </c>
      <c r="G30" s="877">
        <f t="shared" si="3"/>
        <v>219</v>
      </c>
      <c r="H30" s="877">
        <f t="shared" si="3"/>
        <v>486</v>
      </c>
      <c r="I30" s="877">
        <f t="shared" si="3"/>
        <v>332</v>
      </c>
      <c r="J30" s="877">
        <f t="shared" si="3"/>
        <v>244</v>
      </c>
      <c r="K30" s="877">
        <f>SUM(K29,K15,K9,K5)</f>
        <v>412</v>
      </c>
    </row>
    <row r="31" spans="1:11" ht="15.75" thickBot="1">
      <c r="A31" s="363"/>
      <c r="B31" s="345"/>
      <c r="C31" s="345"/>
      <c r="D31" s="345"/>
      <c r="E31" s="430"/>
      <c r="F31" s="430"/>
      <c r="G31" s="430"/>
      <c r="H31" s="430"/>
      <c r="I31" s="1204"/>
      <c r="J31" s="1204"/>
      <c r="K31" s="239"/>
    </row>
    <row r="32" spans="1:11" ht="30.75" thickBot="1">
      <c r="A32" s="424" t="s">
        <v>2603</v>
      </c>
      <c r="B32" s="425" t="s">
        <v>2195</v>
      </c>
      <c r="C32" s="66">
        <v>7400</v>
      </c>
      <c r="D32" s="426"/>
      <c r="E32" s="426"/>
      <c r="F32" s="426"/>
      <c r="G32" s="426"/>
      <c r="H32" s="426"/>
      <c r="I32" s="1205">
        <v>100</v>
      </c>
      <c r="J32" s="1206"/>
      <c r="K32" s="878"/>
    </row>
    <row r="33" spans="1:13" ht="15.75" thickBot="1">
      <c r="A33" s="416" t="s">
        <v>2604</v>
      </c>
      <c r="B33" s="417" t="s">
        <v>740</v>
      </c>
      <c r="C33" s="428">
        <v>7410</v>
      </c>
      <c r="D33" s="418"/>
      <c r="E33" s="418"/>
      <c r="F33" s="418"/>
      <c r="G33" s="418"/>
      <c r="H33" s="418"/>
      <c r="I33" s="872"/>
      <c r="J33" s="872"/>
      <c r="K33" s="875">
        <v>50</v>
      </c>
    </row>
    <row r="34" spans="1:13" ht="15.75" thickBot="1">
      <c r="A34" s="431"/>
      <c r="B34" s="432"/>
      <c r="C34" s="432"/>
      <c r="D34" s="432"/>
      <c r="E34" s="432"/>
      <c r="F34" s="432"/>
      <c r="G34" s="432"/>
      <c r="H34" s="432"/>
      <c r="I34" s="432"/>
      <c r="J34" s="432"/>
      <c r="K34" s="67"/>
    </row>
    <row r="39" spans="1:13" s="1134" customFormat="1" ht="13.5">
      <c r="A39" s="1139"/>
      <c r="B39" s="1154"/>
      <c r="C39" s="37">
        <v>10</v>
      </c>
      <c r="D39" s="28" t="b">
        <f>D9=SUM(D10:D14)</f>
        <v>1</v>
      </c>
      <c r="E39" s="29" t="s">
        <v>2127</v>
      </c>
      <c r="M39" s="28"/>
    </row>
    <row r="40" spans="1:13" s="1134" customFormat="1" ht="13.5">
      <c r="A40" s="1139"/>
      <c r="B40" s="1154"/>
      <c r="C40" s="37">
        <v>20</v>
      </c>
      <c r="D40" s="28" t="b">
        <f>D15=SUM(D16:D20)</f>
        <v>1</v>
      </c>
      <c r="E40" s="29" t="s">
        <v>2128</v>
      </c>
      <c r="M40" s="28"/>
    </row>
    <row r="41" spans="1:13" s="1134" customFormat="1" ht="13.5">
      <c r="A41" s="1139"/>
      <c r="B41" s="1154"/>
      <c r="C41" s="37">
        <v>30</v>
      </c>
      <c r="D41" s="28" t="b">
        <f>D20=SUM(D21:D28)</f>
        <v>1</v>
      </c>
      <c r="E41" s="29" t="s">
        <v>2129</v>
      </c>
      <c r="M41" s="28"/>
    </row>
    <row r="42" spans="1:13" s="1134" customFormat="1" ht="13.5">
      <c r="A42" s="1139"/>
      <c r="B42" s="1154"/>
      <c r="C42" s="37">
        <v>40</v>
      </c>
      <c r="D42" s="28" t="b">
        <f>D30=D9+D15+D29</f>
        <v>1</v>
      </c>
      <c r="E42" s="29" t="s">
        <v>2130</v>
      </c>
      <c r="M42" s="28"/>
    </row>
    <row r="43" spans="1:13" s="1134" customFormat="1" ht="13.5">
      <c r="A43" s="1139"/>
      <c r="B43" s="1154"/>
      <c r="C43" s="37">
        <v>50</v>
      </c>
      <c r="D43" s="28" t="b">
        <f>E9=SUM(E10:E14)</f>
        <v>1</v>
      </c>
      <c r="E43" s="29" t="s">
        <v>2131</v>
      </c>
    </row>
    <row r="44" spans="1:13" s="1134" customFormat="1" ht="13.5">
      <c r="A44" s="1139"/>
      <c r="B44" s="1154"/>
      <c r="C44" s="37">
        <v>60</v>
      </c>
      <c r="D44" s="28" t="b">
        <f>E15=SUM(E16:E20)</f>
        <v>1</v>
      </c>
      <c r="E44" s="29" t="s">
        <v>2132</v>
      </c>
    </row>
    <row r="45" spans="1:13" s="1134" customFormat="1" ht="13.5">
      <c r="A45" s="1139"/>
      <c r="B45" s="1154"/>
      <c r="C45" s="37">
        <v>70</v>
      </c>
      <c r="D45" s="28" t="b">
        <f>E20=SUM(E21:E28)</f>
        <v>1</v>
      </c>
      <c r="E45" s="29" t="s">
        <v>2133</v>
      </c>
    </row>
    <row r="46" spans="1:13" s="1134" customFormat="1" ht="13.5">
      <c r="A46" s="1139"/>
      <c r="B46" s="1154"/>
      <c r="C46" s="37">
        <v>80</v>
      </c>
      <c r="D46" s="28" t="b">
        <f>E30=E9+E15+E29</f>
        <v>1</v>
      </c>
      <c r="E46" s="29" t="s">
        <v>2134</v>
      </c>
    </row>
    <row r="47" spans="1:13" s="1134" customFormat="1" ht="13.5">
      <c r="A47" s="1139"/>
      <c r="B47" s="1154"/>
      <c r="C47" s="37">
        <v>90</v>
      </c>
      <c r="D47" s="28" t="b">
        <f>F9=SUM(F10:F14)</f>
        <v>1</v>
      </c>
      <c r="E47" s="29" t="s">
        <v>2135</v>
      </c>
    </row>
    <row r="48" spans="1:13" s="1134" customFormat="1" ht="13.5">
      <c r="A48" s="1139"/>
      <c r="B48" s="1154"/>
      <c r="C48" s="37">
        <v>100</v>
      </c>
      <c r="D48" s="28" t="b">
        <f>F15=SUM(F16:F20)</f>
        <v>1</v>
      </c>
      <c r="E48" s="29" t="s">
        <v>2136</v>
      </c>
    </row>
    <row r="49" spans="1:5" s="1134" customFormat="1" ht="13.5">
      <c r="A49" s="1139"/>
      <c r="B49" s="1154"/>
      <c r="C49" s="37">
        <v>110</v>
      </c>
      <c r="D49" s="28" t="b">
        <f>F20=SUM(F21:F28)</f>
        <v>1</v>
      </c>
      <c r="E49" s="29" t="s">
        <v>2137</v>
      </c>
    </row>
    <row r="50" spans="1:5" s="1134" customFormat="1" ht="13.5">
      <c r="A50" s="1139"/>
      <c r="B50" s="1154"/>
      <c r="C50" s="37">
        <v>120</v>
      </c>
      <c r="D50" s="28" t="b">
        <f>F30=F9+F15+F29</f>
        <v>1</v>
      </c>
      <c r="E50" s="29" t="s">
        <v>2788</v>
      </c>
    </row>
    <row r="51" spans="1:5" s="1134" customFormat="1" ht="13.5">
      <c r="A51" s="1139"/>
      <c r="B51" s="1154"/>
      <c r="C51" s="37">
        <v>130</v>
      </c>
      <c r="D51" s="28" t="b">
        <f>G9=SUM(G10:G14)</f>
        <v>1</v>
      </c>
      <c r="E51" s="29" t="s">
        <v>2789</v>
      </c>
    </row>
    <row r="52" spans="1:5" s="1134" customFormat="1" ht="13.5">
      <c r="A52" s="1139"/>
      <c r="B52" s="1154"/>
      <c r="C52" s="37">
        <v>140</v>
      </c>
      <c r="D52" s="28" t="b">
        <f>G15=SUM(G16:G20)</f>
        <v>1</v>
      </c>
      <c r="E52" s="29" t="s">
        <v>2790</v>
      </c>
    </row>
    <row r="53" spans="1:5" s="1134" customFormat="1" ht="13.5">
      <c r="A53" s="1139"/>
      <c r="B53" s="1154"/>
      <c r="C53" s="37">
        <v>150</v>
      </c>
      <c r="D53" s="28" t="b">
        <f>G20=SUM(G21:G28)</f>
        <v>1</v>
      </c>
      <c r="E53" s="29" t="s">
        <v>2791</v>
      </c>
    </row>
    <row r="54" spans="1:5" s="1134" customFormat="1" ht="13.5">
      <c r="A54" s="1139"/>
      <c r="B54" s="1154"/>
      <c r="C54" s="37">
        <v>160</v>
      </c>
      <c r="D54" s="28" t="b">
        <f>G30=G9+G15+G29</f>
        <v>1</v>
      </c>
      <c r="E54" s="29" t="s">
        <v>2792</v>
      </c>
    </row>
    <row r="55" spans="1:5" s="1134" customFormat="1" ht="13.5">
      <c r="A55" s="1139"/>
      <c r="B55" s="1154"/>
      <c r="C55" s="37">
        <v>170</v>
      </c>
      <c r="D55" s="28" t="b">
        <f>H5=H6+H7+H8</f>
        <v>1</v>
      </c>
      <c r="E55" s="29" t="s">
        <v>2793</v>
      </c>
    </row>
    <row r="56" spans="1:5" s="1134" customFormat="1" ht="13.5">
      <c r="A56" s="1139"/>
      <c r="B56" s="1154"/>
      <c r="C56" s="37">
        <v>180</v>
      </c>
      <c r="D56" s="28" t="b">
        <f>H9=SUM(H10:H14)</f>
        <v>1</v>
      </c>
      <c r="E56" s="29" t="s">
        <v>2794</v>
      </c>
    </row>
    <row r="57" spans="1:5" s="1134" customFormat="1" ht="13.5">
      <c r="A57" s="1139"/>
      <c r="B57" s="1154"/>
      <c r="C57" s="37">
        <v>190</v>
      </c>
      <c r="D57" s="28" t="b">
        <f>H15=SUM(H16:H20)</f>
        <v>1</v>
      </c>
      <c r="E57" s="29" t="s">
        <v>2795</v>
      </c>
    </row>
    <row r="58" spans="1:5" s="1134" customFormat="1" ht="13.5">
      <c r="A58" s="1139"/>
      <c r="B58" s="1154"/>
      <c r="C58" s="37">
        <v>200</v>
      </c>
      <c r="D58" s="28" t="b">
        <f>H20=SUM(H21:H28)</f>
        <v>1</v>
      </c>
      <c r="E58" s="29" t="s">
        <v>2796</v>
      </c>
    </row>
    <row r="59" spans="1:5" s="1134" customFormat="1" ht="13.5">
      <c r="A59" s="1139"/>
      <c r="B59" s="37"/>
      <c r="C59" s="37">
        <v>210</v>
      </c>
      <c r="D59" s="28" t="b">
        <f>H30=H5+H9+H15+H29</f>
        <v>1</v>
      </c>
      <c r="E59" s="29" t="s">
        <v>2915</v>
      </c>
    </row>
    <row r="60" spans="1:5" s="1134" customFormat="1" ht="13.5">
      <c r="A60" s="1139"/>
      <c r="B60" s="1154"/>
      <c r="C60" s="37">
        <v>220</v>
      </c>
      <c r="D60" s="28" t="b">
        <f>I5=I6+I7+I8</f>
        <v>1</v>
      </c>
      <c r="E60" s="29" t="s">
        <v>2797</v>
      </c>
    </row>
    <row r="61" spans="1:5" s="1134" customFormat="1" ht="13.5">
      <c r="A61" s="1139"/>
      <c r="B61" s="1154"/>
      <c r="C61" s="37">
        <v>230</v>
      </c>
      <c r="D61" s="28" t="b">
        <f>I9=SUM(I10:I14)</f>
        <v>1</v>
      </c>
      <c r="E61" s="29" t="s">
        <v>2798</v>
      </c>
    </row>
    <row r="62" spans="1:5" s="1134" customFormat="1" ht="13.5">
      <c r="A62" s="1139"/>
      <c r="B62" s="1154"/>
      <c r="C62" s="37">
        <v>240</v>
      </c>
      <c r="D62" s="28" t="b">
        <f>I15=SUM(I16:I20)</f>
        <v>1</v>
      </c>
      <c r="E62" s="29" t="s">
        <v>2799</v>
      </c>
    </row>
    <row r="63" spans="1:5" s="1134" customFormat="1" ht="13.5">
      <c r="A63" s="1139"/>
      <c r="B63" s="1154"/>
      <c r="C63" s="37">
        <v>250</v>
      </c>
      <c r="D63" s="28" t="b">
        <f>I20=SUM(I21:I28)</f>
        <v>1</v>
      </c>
      <c r="E63" s="29" t="s">
        <v>2800</v>
      </c>
    </row>
    <row r="64" spans="1:5" s="1134" customFormat="1" ht="13.5">
      <c r="A64" s="1139"/>
      <c r="B64" s="1154"/>
      <c r="C64" s="37">
        <v>260</v>
      </c>
      <c r="D64" s="28" t="b">
        <f>I30=I5+I9+I15+I29</f>
        <v>1</v>
      </c>
      <c r="E64" s="29" t="s">
        <v>2801</v>
      </c>
    </row>
    <row r="65" spans="1:5" s="1134" customFormat="1" ht="13.5">
      <c r="A65" s="1139"/>
      <c r="B65" s="1154"/>
      <c r="C65" s="37">
        <v>270</v>
      </c>
      <c r="D65" s="28" t="b">
        <f>J5=J6+J7+J8</f>
        <v>1</v>
      </c>
      <c r="E65" s="29" t="s">
        <v>2802</v>
      </c>
    </row>
    <row r="66" spans="1:5" s="1134" customFormat="1" ht="13.5">
      <c r="A66" s="1139"/>
      <c r="B66" s="1154"/>
      <c r="C66" s="37">
        <v>280</v>
      </c>
      <c r="D66" s="28" t="b">
        <f>J9=SUM(J10:J14)</f>
        <v>1</v>
      </c>
      <c r="E66" s="29" t="s">
        <v>2803</v>
      </c>
    </row>
    <row r="67" spans="1:5" s="1134" customFormat="1" ht="13.5">
      <c r="A67" s="1139"/>
      <c r="B67" s="1154"/>
      <c r="C67" s="37">
        <v>290</v>
      </c>
      <c r="D67" s="28" t="b">
        <f>J15=SUM(J16:J20)</f>
        <v>1</v>
      </c>
      <c r="E67" s="29" t="s">
        <v>2804</v>
      </c>
    </row>
    <row r="68" spans="1:5" s="1134" customFormat="1" ht="13.5">
      <c r="A68" s="1139"/>
      <c r="B68" s="1154"/>
      <c r="C68" s="37">
        <v>300</v>
      </c>
      <c r="D68" s="28" t="b">
        <f>J20=SUM(J21:J28)</f>
        <v>1</v>
      </c>
      <c r="E68" s="29" t="s">
        <v>2805</v>
      </c>
    </row>
    <row r="69" spans="1:5" s="1134" customFormat="1" ht="13.5">
      <c r="A69" s="1139"/>
      <c r="B69" s="1154"/>
      <c r="C69" s="37">
        <v>310</v>
      </c>
      <c r="D69" s="28" t="b">
        <f>J30=J5+J9+J15+J29</f>
        <v>1</v>
      </c>
      <c r="E69" s="29" t="s">
        <v>2806</v>
      </c>
    </row>
    <row r="70" spans="1:5" s="1134" customFormat="1" ht="13.5">
      <c r="A70" s="1139"/>
      <c r="B70" s="1154"/>
      <c r="C70" s="37">
        <v>320</v>
      </c>
      <c r="D70" s="28" t="b">
        <f>K5=K6+K7+K8</f>
        <v>1</v>
      </c>
      <c r="E70" s="29" t="s">
        <v>2807</v>
      </c>
    </row>
    <row r="71" spans="1:5" s="1134" customFormat="1" ht="13.5">
      <c r="A71" s="1139"/>
      <c r="B71" s="1154"/>
      <c r="C71" s="37">
        <v>330</v>
      </c>
      <c r="D71" s="28" t="b">
        <f>K30=K5+K9+K15+K29</f>
        <v>1</v>
      </c>
      <c r="E71" s="29" t="s">
        <v>2808</v>
      </c>
    </row>
    <row r="72" spans="1:5" s="1134" customFormat="1" ht="13.5">
      <c r="A72" s="1178"/>
      <c r="B72" s="1154"/>
      <c r="C72" s="37">
        <v>340</v>
      </c>
      <c r="D72" s="28" t="b">
        <f>IF(K5&gt;0,IF(SUM(H5:J5)&gt;0,TRUE,FALSE),TRUE)</f>
        <v>1</v>
      </c>
      <c r="E72" s="29" t="s">
        <v>2809</v>
      </c>
    </row>
    <row r="73" spans="1:5" s="1134" customFormat="1" ht="13.5">
      <c r="A73" s="1139"/>
      <c r="B73" s="1154"/>
      <c r="C73" s="37">
        <v>350</v>
      </c>
      <c r="D73" s="28" t="b">
        <f>IF(K6&gt;0,IF(SUM(H6:J6)&gt;0,TRUE,FALSE),TRUE)</f>
        <v>1</v>
      </c>
      <c r="E73" s="29" t="s">
        <v>2810</v>
      </c>
    </row>
    <row r="74" spans="1:5" s="1134" customFormat="1" ht="13.5">
      <c r="A74" s="1139"/>
      <c r="B74" s="1154"/>
      <c r="C74" s="37">
        <v>360</v>
      </c>
      <c r="D74" s="28" t="b">
        <f>IF(K7&gt;0,IF(SUM(H7:J7)&gt;0,TRUE,FALSE),TRUE)</f>
        <v>1</v>
      </c>
      <c r="E74" s="29" t="s">
        <v>2811</v>
      </c>
    </row>
    <row r="75" spans="1:5" s="1134" customFormat="1" ht="13.5">
      <c r="A75" s="1139"/>
      <c r="B75" s="1154"/>
      <c r="C75" s="37">
        <v>370</v>
      </c>
      <c r="D75" s="28" t="b">
        <f>IF(K8&gt;0,IF(SUM(H8:J8)&gt;0,TRUE,FALSE),TRUE)</f>
        <v>1</v>
      </c>
      <c r="E75" s="29" t="s">
        <v>2812</v>
      </c>
    </row>
    <row r="76" spans="1:5" s="1134" customFormat="1" ht="13.5">
      <c r="A76" s="1139"/>
      <c r="B76" s="1154"/>
      <c r="C76" s="37">
        <v>380</v>
      </c>
      <c r="D76" s="28" t="b">
        <f>IF(K9&gt;0,IF(SUM(D9:J9)&gt;0,TRUE,FALSE),TRUE)</f>
        <v>1</v>
      </c>
      <c r="E76" s="29" t="s">
        <v>2813</v>
      </c>
    </row>
    <row r="77" spans="1:5" s="1134" customFormat="1" ht="13.5">
      <c r="A77" s="1139"/>
      <c r="B77" s="1154"/>
      <c r="C77" s="37">
        <v>390</v>
      </c>
      <c r="D77" s="28" t="b">
        <f>IF(K15&gt;0,IF(SUM(D15:J15)&gt;0,TRUE,FALSE),TRUE)</f>
        <v>1</v>
      </c>
      <c r="E77" s="29" t="s">
        <v>2814</v>
      </c>
    </row>
    <row r="78" spans="1:5" s="1134" customFormat="1" ht="13.5">
      <c r="A78" s="1139"/>
      <c r="B78" s="1154"/>
      <c r="C78" s="37">
        <v>400</v>
      </c>
      <c r="D78" s="28" t="b">
        <f>IF(K29&gt;0,IF(SUM(D29:J29)&gt;0,TRUE,FALSE),TRUE)</f>
        <v>1</v>
      </c>
      <c r="E78" s="29" t="s">
        <v>2208</v>
      </c>
    </row>
    <row r="79" spans="1:5" s="1134" customFormat="1" ht="13.5">
      <c r="A79" s="1139"/>
      <c r="B79" s="1154"/>
      <c r="C79" s="37">
        <v>410</v>
      </c>
      <c r="D79" s="28" t="b">
        <f>IF(K30&gt;0,IF(SUM(D30:J30)&gt;0,TRUE,FALSE),TRUE)</f>
        <v>1</v>
      </c>
      <c r="E79" s="29" t="s">
        <v>0</v>
      </c>
    </row>
    <row r="80" spans="1:5" s="1134" customFormat="1" ht="13.5">
      <c r="A80" s="1139"/>
      <c r="B80" s="1154"/>
      <c r="C80" s="37">
        <v>420</v>
      </c>
      <c r="D80" s="28" t="b">
        <f>IF(I30+J30&gt;0,IF(H30,TRUE,FALSE),TRUE)</f>
        <v>1</v>
      </c>
      <c r="E80" s="29" t="s">
        <v>2209</v>
      </c>
    </row>
    <row r="81" spans="1:5" s="1139" customFormat="1" ht="13.5">
      <c r="A81" s="1178"/>
      <c r="B81" s="1154"/>
      <c r="C81" s="37">
        <v>430</v>
      </c>
      <c r="D81" s="28" t="b">
        <f>IF(I5+J5&gt;0,IF(H5,TRUE,FALSE),TRUE)</f>
        <v>1</v>
      </c>
      <c r="E81" s="29" t="s">
        <v>2210</v>
      </c>
    </row>
    <row r="82" spans="1:5" s="1139" customFormat="1" ht="13.5">
      <c r="B82" s="1154"/>
      <c r="C82" s="37">
        <v>440</v>
      </c>
      <c r="D82" s="28" t="b">
        <f t="shared" ref="D82:D105" si="4">IF(I6+J6&gt;0,IF(H6,TRUE,FALSE),TRUE)</f>
        <v>1</v>
      </c>
      <c r="E82" s="29" t="s">
        <v>2211</v>
      </c>
    </row>
    <row r="83" spans="1:5" s="1139" customFormat="1" ht="13.5">
      <c r="B83" s="1154"/>
      <c r="C83" s="37">
        <v>450</v>
      </c>
      <c r="D83" s="28" t="b">
        <f t="shared" si="4"/>
        <v>1</v>
      </c>
      <c r="E83" s="29" t="s">
        <v>2212</v>
      </c>
    </row>
    <row r="84" spans="1:5" s="1139" customFormat="1" ht="13.5">
      <c r="B84" s="1154"/>
      <c r="C84" s="37">
        <v>460</v>
      </c>
      <c r="D84" s="28" t="b">
        <f t="shared" si="4"/>
        <v>1</v>
      </c>
      <c r="E84" s="29" t="s">
        <v>2213</v>
      </c>
    </row>
    <row r="85" spans="1:5" s="1139" customFormat="1" ht="13.5">
      <c r="B85" s="1154"/>
      <c r="C85" s="37">
        <v>470</v>
      </c>
      <c r="D85" s="28" t="b">
        <f t="shared" si="4"/>
        <v>1</v>
      </c>
      <c r="E85" s="29" t="s">
        <v>2214</v>
      </c>
    </row>
    <row r="86" spans="1:5" s="1139" customFormat="1" ht="13.5">
      <c r="B86" s="1154"/>
      <c r="C86" s="37">
        <v>480</v>
      </c>
      <c r="D86" s="28" t="b">
        <f t="shared" si="4"/>
        <v>1</v>
      </c>
      <c r="E86" s="29" t="s">
        <v>2215</v>
      </c>
    </row>
    <row r="87" spans="1:5" s="1139" customFormat="1" ht="13.5">
      <c r="B87" s="1154"/>
      <c r="C87" s="37">
        <v>490</v>
      </c>
      <c r="D87" s="28" t="b">
        <f t="shared" si="4"/>
        <v>1</v>
      </c>
      <c r="E87" s="29" t="s">
        <v>2216</v>
      </c>
    </row>
    <row r="88" spans="1:5" s="1139" customFormat="1" ht="13.5">
      <c r="B88" s="1154"/>
      <c r="C88" s="37">
        <v>500</v>
      </c>
      <c r="D88" s="28" t="b">
        <f t="shared" si="4"/>
        <v>1</v>
      </c>
      <c r="E88" s="29" t="s">
        <v>533</v>
      </c>
    </row>
    <row r="89" spans="1:5" s="1139" customFormat="1" ht="13.5">
      <c r="B89" s="1154"/>
      <c r="C89" s="37">
        <v>510</v>
      </c>
      <c r="D89" s="28" t="b">
        <f t="shared" si="4"/>
        <v>1</v>
      </c>
      <c r="E89" s="29" t="s">
        <v>286</v>
      </c>
    </row>
    <row r="90" spans="1:5" s="1139" customFormat="1" ht="13.5">
      <c r="B90" s="1154"/>
      <c r="C90" s="37">
        <v>520</v>
      </c>
      <c r="D90" s="28" t="b">
        <f t="shared" si="4"/>
        <v>1</v>
      </c>
      <c r="E90" s="29" t="s">
        <v>287</v>
      </c>
    </row>
    <row r="91" spans="1:5" s="1139" customFormat="1" ht="13.5">
      <c r="B91" s="1154"/>
      <c r="C91" s="37">
        <v>530</v>
      </c>
      <c r="D91" s="28" t="b">
        <f t="shared" si="4"/>
        <v>1</v>
      </c>
      <c r="E91" s="29" t="s">
        <v>288</v>
      </c>
    </row>
    <row r="92" spans="1:5" s="1139" customFormat="1" ht="13.5">
      <c r="B92" s="1154"/>
      <c r="C92" s="37">
        <v>540</v>
      </c>
      <c r="D92" s="28" t="b">
        <f t="shared" si="4"/>
        <v>1</v>
      </c>
      <c r="E92" s="29" t="s">
        <v>289</v>
      </c>
    </row>
    <row r="93" spans="1:5" s="1139" customFormat="1" ht="13.5">
      <c r="B93" s="1154"/>
      <c r="C93" s="37">
        <v>550</v>
      </c>
      <c r="D93" s="28" t="b">
        <f t="shared" si="4"/>
        <v>1</v>
      </c>
      <c r="E93" s="29" t="s">
        <v>290</v>
      </c>
    </row>
    <row r="94" spans="1:5" s="1139" customFormat="1" ht="13.5">
      <c r="B94" s="1154"/>
      <c r="C94" s="37">
        <v>560</v>
      </c>
      <c r="D94" s="28" t="b">
        <f t="shared" si="4"/>
        <v>1</v>
      </c>
      <c r="E94" s="29" t="s">
        <v>291</v>
      </c>
    </row>
    <row r="95" spans="1:5" s="1139" customFormat="1" ht="13.5">
      <c r="B95" s="1154"/>
      <c r="C95" s="37">
        <v>570</v>
      </c>
      <c r="D95" s="28" t="b">
        <f t="shared" si="4"/>
        <v>1</v>
      </c>
      <c r="E95" s="29" t="s">
        <v>292</v>
      </c>
    </row>
    <row r="96" spans="1:5" s="1139" customFormat="1" ht="13.5">
      <c r="B96" s="1154"/>
      <c r="C96" s="37">
        <v>580</v>
      </c>
      <c r="D96" s="28" t="b">
        <f t="shared" si="4"/>
        <v>1</v>
      </c>
      <c r="E96" s="29" t="s">
        <v>293</v>
      </c>
    </row>
    <row r="97" spans="2:5" s="1139" customFormat="1" ht="13.5">
      <c r="B97" s="1154"/>
      <c r="C97" s="37">
        <v>590</v>
      </c>
      <c r="D97" s="28" t="b">
        <f t="shared" si="4"/>
        <v>1</v>
      </c>
      <c r="E97" s="29" t="s">
        <v>294</v>
      </c>
    </row>
    <row r="98" spans="2:5" s="1139" customFormat="1" ht="13.5">
      <c r="B98" s="1154"/>
      <c r="C98" s="37">
        <v>600</v>
      </c>
      <c r="D98" s="28" t="b">
        <f t="shared" si="4"/>
        <v>1</v>
      </c>
      <c r="E98" s="29" t="s">
        <v>295</v>
      </c>
    </row>
    <row r="99" spans="2:5" s="1139" customFormat="1" ht="13.5">
      <c r="B99" s="1154"/>
      <c r="C99" s="37">
        <v>610</v>
      </c>
      <c r="D99" s="28" t="b">
        <f t="shared" si="4"/>
        <v>1</v>
      </c>
      <c r="E99" s="29" t="s">
        <v>296</v>
      </c>
    </row>
    <row r="100" spans="2:5" s="1139" customFormat="1" ht="13.5">
      <c r="B100" s="1154"/>
      <c r="C100" s="37">
        <v>620</v>
      </c>
      <c r="D100" s="28" t="b">
        <f t="shared" si="4"/>
        <v>1</v>
      </c>
      <c r="E100" s="29" t="s">
        <v>297</v>
      </c>
    </row>
    <row r="101" spans="2:5" s="1139" customFormat="1" ht="13.5">
      <c r="B101" s="1154"/>
      <c r="C101" s="37">
        <v>630</v>
      </c>
      <c r="D101" s="28" t="b">
        <f t="shared" si="4"/>
        <v>1</v>
      </c>
      <c r="E101" s="29" t="s">
        <v>298</v>
      </c>
    </row>
    <row r="102" spans="2:5" s="1139" customFormat="1" ht="13.5">
      <c r="B102" s="1154"/>
      <c r="C102" s="37">
        <v>640</v>
      </c>
      <c r="D102" s="28" t="b">
        <f t="shared" si="4"/>
        <v>1</v>
      </c>
      <c r="E102" s="29" t="s">
        <v>299</v>
      </c>
    </row>
    <row r="103" spans="2:5" s="1139" customFormat="1" ht="13.5">
      <c r="B103" s="1154"/>
      <c r="C103" s="37">
        <v>650</v>
      </c>
      <c r="D103" s="28" t="b">
        <f t="shared" si="4"/>
        <v>1</v>
      </c>
      <c r="E103" s="29" t="s">
        <v>300</v>
      </c>
    </row>
    <row r="104" spans="2:5" s="1139" customFormat="1" ht="13.5">
      <c r="B104" s="1154"/>
      <c r="C104" s="37">
        <v>660</v>
      </c>
      <c r="D104" s="28" t="b">
        <f t="shared" si="4"/>
        <v>1</v>
      </c>
      <c r="E104" s="29" t="s">
        <v>301</v>
      </c>
    </row>
    <row r="105" spans="2:5" s="1139" customFormat="1" ht="13.5">
      <c r="B105" s="1154"/>
      <c r="C105" s="37">
        <v>670</v>
      </c>
      <c r="D105" s="28" t="b">
        <f t="shared" si="4"/>
        <v>1</v>
      </c>
      <c r="E105" s="29" t="s">
        <v>302</v>
      </c>
    </row>
  </sheetData>
  <customSheetViews>
    <customSheetView guid="{5D819D0C-25F7-408A-B978-F4F86F7655CA}" showPageBreaks="1" showRuler="0" topLeftCell="A16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 topLeftCell="A10">
      <selection activeCell="N28" sqref="N2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N28" sqref="N2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D3:K3"/>
    <mergeCell ref="I31:J31"/>
    <mergeCell ref="I32:J32"/>
  </mergeCells>
  <phoneticPr fontId="0" type="noConversion"/>
  <pageMargins left="0.37" right="0.12" top="0.68" bottom="0.34" header="0.32" footer="0.23"/>
  <pageSetup paperSize="8" scale="94" orientation="landscape" r:id="rId4"/>
  <headerFooter alignWithMargins="0">
    <oddHeader>&amp;C10.0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5"/>
  <sheetViews>
    <sheetView showGridLines="0" zoomScale="75" zoomScaleNormal="75" zoomScaleSheetLayoutView="100" workbookViewId="0"/>
  </sheetViews>
  <sheetFormatPr defaultRowHeight="12.75"/>
  <cols>
    <col min="1" max="1" width="28" bestFit="1" customWidth="1"/>
    <col min="2" max="2" width="30.140625" customWidth="1"/>
    <col min="3" max="3" width="8.7109375" customWidth="1"/>
    <col min="4" max="4" width="10.28515625" customWidth="1"/>
    <col min="6" max="6" width="9.85546875" customWidth="1"/>
    <col min="12" max="12" width="39.7109375" customWidth="1"/>
    <col min="13" max="13" width="28.42578125" customWidth="1"/>
  </cols>
  <sheetData>
    <row r="1" spans="1:7" ht="16.5" thickBot="1">
      <c r="A1" s="242" t="s">
        <v>1132</v>
      </c>
      <c r="B1" s="279"/>
      <c r="C1" s="279"/>
      <c r="D1" s="279"/>
      <c r="E1" s="279"/>
      <c r="F1" s="279"/>
      <c r="G1" s="279"/>
    </row>
    <row r="2" spans="1:7" ht="148.5" customHeight="1" thickBot="1">
      <c r="A2" s="374" t="s">
        <v>1119</v>
      </c>
      <c r="B2" s="374" t="s">
        <v>1120</v>
      </c>
      <c r="C2" s="378" t="s">
        <v>1858</v>
      </c>
      <c r="D2" s="447"/>
      <c r="E2" s="447" t="s">
        <v>1921</v>
      </c>
      <c r="F2" s="447" t="s">
        <v>1906</v>
      </c>
      <c r="G2" s="378" t="s">
        <v>1121</v>
      </c>
    </row>
    <row r="3" spans="1:7" s="2" customFormat="1" ht="15.75" thickBot="1">
      <c r="A3" s="433"/>
      <c r="B3" s="434"/>
      <c r="C3" s="434"/>
      <c r="D3" s="435" t="s">
        <v>1134</v>
      </c>
      <c r="E3" s="415" t="s">
        <v>1013</v>
      </c>
      <c r="F3" s="292" t="s">
        <v>1014</v>
      </c>
      <c r="G3" s="293" t="s">
        <v>1015</v>
      </c>
    </row>
    <row r="4" spans="1:7" ht="15.75" thickBot="1">
      <c r="A4" s="436" t="s">
        <v>1122</v>
      </c>
      <c r="B4" s="437"/>
      <c r="C4" s="438"/>
      <c r="D4" s="439"/>
      <c r="E4" s="437"/>
      <c r="F4" s="440"/>
      <c r="G4" s="438"/>
    </row>
    <row r="5" spans="1:7" ht="15.75" thickBot="1">
      <c r="A5" s="441" t="s">
        <v>1859</v>
      </c>
      <c r="B5" s="335" t="s">
        <v>1123</v>
      </c>
      <c r="C5" s="335" t="s">
        <v>1861</v>
      </c>
      <c r="D5" s="250">
        <v>7100</v>
      </c>
      <c r="E5" s="879">
        <v>15</v>
      </c>
      <c r="F5" s="879">
        <v>15</v>
      </c>
      <c r="G5" s="879">
        <v>100</v>
      </c>
    </row>
    <row r="6" spans="1:7" ht="15.75" thickBot="1">
      <c r="A6" s="441"/>
      <c r="B6" s="335" t="s">
        <v>1862</v>
      </c>
      <c r="C6" s="335" t="s">
        <v>1863</v>
      </c>
      <c r="D6" s="250">
        <v>7105</v>
      </c>
      <c r="E6" s="879">
        <v>15</v>
      </c>
      <c r="F6" s="879">
        <v>15</v>
      </c>
      <c r="G6" s="879">
        <v>100</v>
      </c>
    </row>
    <row r="7" spans="1:7" ht="15.75" thickBot="1">
      <c r="A7" s="441"/>
      <c r="B7" s="335" t="s">
        <v>1864</v>
      </c>
      <c r="C7" s="335" t="s">
        <v>1865</v>
      </c>
      <c r="D7" s="250">
        <v>7110</v>
      </c>
      <c r="E7" s="879">
        <v>15</v>
      </c>
      <c r="F7" s="879">
        <v>15</v>
      </c>
      <c r="G7" s="879">
        <v>100</v>
      </c>
    </row>
    <row r="8" spans="1:7" ht="15.75" thickBot="1">
      <c r="A8" s="441"/>
      <c r="B8" s="335" t="s">
        <v>1866</v>
      </c>
      <c r="C8" s="335" t="s">
        <v>1867</v>
      </c>
      <c r="D8" s="250">
        <v>7115</v>
      </c>
      <c r="E8" s="879">
        <v>15</v>
      </c>
      <c r="F8" s="879">
        <v>15</v>
      </c>
      <c r="G8" s="879">
        <v>100</v>
      </c>
    </row>
    <row r="9" spans="1:7" ht="15.75" thickBot="1">
      <c r="A9" s="441"/>
      <c r="B9" s="335" t="s">
        <v>1868</v>
      </c>
      <c r="C9" s="335" t="s">
        <v>1869</v>
      </c>
      <c r="D9" s="250">
        <v>7120</v>
      </c>
      <c r="E9" s="879">
        <v>15</v>
      </c>
      <c r="F9" s="879">
        <v>15</v>
      </c>
      <c r="G9" s="879">
        <v>100</v>
      </c>
    </row>
    <row r="10" spans="1:7" ht="15.75" thickBot="1">
      <c r="A10" s="441"/>
      <c r="B10" s="335" t="s">
        <v>1591</v>
      </c>
      <c r="C10" s="335"/>
      <c r="D10" s="250">
        <v>7125</v>
      </c>
      <c r="E10" s="879">
        <v>15</v>
      </c>
      <c r="F10" s="879">
        <v>15</v>
      </c>
      <c r="G10" s="879">
        <v>100</v>
      </c>
    </row>
    <row r="11" spans="1:7" ht="15.75" thickBot="1">
      <c r="A11" s="441" t="s">
        <v>1870</v>
      </c>
      <c r="B11" s="335" t="s">
        <v>1871</v>
      </c>
      <c r="C11" s="335" t="s">
        <v>1872</v>
      </c>
      <c r="D11" s="250">
        <v>7130</v>
      </c>
      <c r="E11" s="879">
        <v>15</v>
      </c>
      <c r="F11" s="879">
        <v>15</v>
      </c>
      <c r="G11" s="879">
        <v>100</v>
      </c>
    </row>
    <row r="12" spans="1:7" ht="15.75" thickBot="1">
      <c r="A12" s="441"/>
      <c r="B12" s="335" t="s">
        <v>1873</v>
      </c>
      <c r="C12" s="335" t="s">
        <v>1874</v>
      </c>
      <c r="D12" s="250">
        <v>7135</v>
      </c>
      <c r="E12" s="879">
        <v>15</v>
      </c>
      <c r="F12" s="879">
        <v>15</v>
      </c>
      <c r="G12" s="879">
        <v>100</v>
      </c>
    </row>
    <row r="13" spans="1:7" ht="15.75" thickBot="1">
      <c r="A13" s="441"/>
      <c r="B13" s="335" t="s">
        <v>1875</v>
      </c>
      <c r="C13" s="335" t="s">
        <v>1876</v>
      </c>
      <c r="D13" s="250">
        <v>7140</v>
      </c>
      <c r="E13" s="879">
        <v>15</v>
      </c>
      <c r="F13" s="879">
        <v>15</v>
      </c>
      <c r="G13" s="879">
        <v>100</v>
      </c>
    </row>
    <row r="14" spans="1:7" ht="15.75" thickBot="1">
      <c r="A14" s="441"/>
      <c r="B14" s="335" t="s">
        <v>1877</v>
      </c>
      <c r="C14" s="335" t="s">
        <v>1878</v>
      </c>
      <c r="D14" s="250">
        <v>7145</v>
      </c>
      <c r="E14" s="879">
        <v>15</v>
      </c>
      <c r="F14" s="879">
        <v>15</v>
      </c>
      <c r="G14" s="879">
        <v>100</v>
      </c>
    </row>
    <row r="15" spans="1:7" ht="15.75" thickBot="1">
      <c r="A15" s="441"/>
      <c r="B15" s="335" t="s">
        <v>1591</v>
      </c>
      <c r="C15" s="335"/>
      <c r="D15" s="250">
        <v>7150</v>
      </c>
      <c r="E15" s="879">
        <v>15</v>
      </c>
      <c r="F15" s="879">
        <v>15</v>
      </c>
      <c r="G15" s="879">
        <v>100</v>
      </c>
    </row>
    <row r="16" spans="1:7" ht="15.75" thickBot="1">
      <c r="A16" s="441" t="s">
        <v>1124</v>
      </c>
      <c r="B16" s="335" t="s">
        <v>1880</v>
      </c>
      <c r="C16" s="335" t="s">
        <v>1881</v>
      </c>
      <c r="D16" s="250">
        <v>7155</v>
      </c>
      <c r="E16" s="879">
        <v>15</v>
      </c>
      <c r="F16" s="879">
        <v>15</v>
      </c>
      <c r="G16" s="879">
        <v>100</v>
      </c>
    </row>
    <row r="17" spans="1:7" ht="15.75" thickBot="1">
      <c r="A17" s="441"/>
      <c r="B17" s="335" t="s">
        <v>1882</v>
      </c>
      <c r="C17" s="335" t="s">
        <v>1883</v>
      </c>
      <c r="D17" s="250">
        <v>7160</v>
      </c>
      <c r="E17" s="879">
        <v>15</v>
      </c>
      <c r="F17" s="879">
        <v>15</v>
      </c>
      <c r="G17" s="879">
        <v>100</v>
      </c>
    </row>
    <row r="18" spans="1:7" ht="15.75" thickBot="1">
      <c r="A18" s="441"/>
      <c r="B18" s="335" t="s">
        <v>1884</v>
      </c>
      <c r="C18" s="335" t="s">
        <v>1885</v>
      </c>
      <c r="D18" s="250">
        <v>7165</v>
      </c>
      <c r="E18" s="879">
        <v>15</v>
      </c>
      <c r="F18" s="879">
        <v>15</v>
      </c>
      <c r="G18" s="879">
        <v>100</v>
      </c>
    </row>
    <row r="19" spans="1:7" ht="15.75" thickBot="1">
      <c r="A19" s="441"/>
      <c r="B19" s="335" t="s">
        <v>1886</v>
      </c>
      <c r="C19" s="335" t="s">
        <v>1887</v>
      </c>
      <c r="D19" s="250">
        <v>7170</v>
      </c>
      <c r="E19" s="879">
        <v>15</v>
      </c>
      <c r="F19" s="879">
        <v>15</v>
      </c>
      <c r="G19" s="879">
        <v>100</v>
      </c>
    </row>
    <row r="20" spans="1:7" ht="15.75" thickBot="1">
      <c r="A20" s="441"/>
      <c r="B20" s="335" t="s">
        <v>1914</v>
      </c>
      <c r="C20" s="335" t="s">
        <v>1915</v>
      </c>
      <c r="D20" s="250">
        <v>7175</v>
      </c>
      <c r="E20" s="879">
        <v>15</v>
      </c>
      <c r="F20" s="879">
        <v>15</v>
      </c>
      <c r="G20" s="879">
        <v>100</v>
      </c>
    </row>
    <row r="21" spans="1:7" ht="15.75" thickBot="1">
      <c r="A21" s="441"/>
      <c r="B21" s="335" t="s">
        <v>1591</v>
      </c>
      <c r="C21" s="335"/>
      <c r="D21" s="250">
        <v>7180</v>
      </c>
      <c r="E21" s="879">
        <v>15</v>
      </c>
      <c r="F21" s="879">
        <v>15</v>
      </c>
      <c r="G21" s="879">
        <v>100</v>
      </c>
    </row>
    <row r="22" spans="1:7" ht="15.75" thickBot="1">
      <c r="A22" s="441" t="s">
        <v>1916</v>
      </c>
      <c r="B22" s="335" t="s">
        <v>1917</v>
      </c>
      <c r="C22" s="335"/>
      <c r="D22" s="250">
        <v>7185</v>
      </c>
      <c r="E22" s="879">
        <v>15</v>
      </c>
      <c r="F22" s="879">
        <v>15</v>
      </c>
      <c r="G22" s="879">
        <v>100</v>
      </c>
    </row>
    <row r="23" spans="1:7" ht="15.75" thickBot="1">
      <c r="A23" s="441"/>
      <c r="B23" s="335" t="s">
        <v>1918</v>
      </c>
      <c r="C23" s="335"/>
      <c r="D23" s="250">
        <v>7190</v>
      </c>
      <c r="E23" s="879">
        <v>15</v>
      </c>
      <c r="F23" s="879">
        <v>15</v>
      </c>
      <c r="G23" s="879">
        <v>100</v>
      </c>
    </row>
    <row r="24" spans="1:7" ht="15.75" thickBot="1">
      <c r="A24" s="441"/>
      <c r="B24" s="335" t="s">
        <v>1919</v>
      </c>
      <c r="C24" s="335"/>
      <c r="D24" s="250">
        <v>7195</v>
      </c>
      <c r="E24" s="879">
        <v>15</v>
      </c>
      <c r="F24" s="879">
        <v>15</v>
      </c>
      <c r="G24" s="879">
        <v>100</v>
      </c>
    </row>
    <row r="25" spans="1:7" ht="15.75" thickBot="1">
      <c r="A25" s="441"/>
      <c r="B25" s="335" t="s">
        <v>1591</v>
      </c>
      <c r="C25" s="335"/>
      <c r="D25" s="250">
        <v>7200</v>
      </c>
      <c r="E25" s="879">
        <v>15</v>
      </c>
      <c r="F25" s="879">
        <v>15</v>
      </c>
      <c r="G25" s="879">
        <v>100</v>
      </c>
    </row>
    <row r="26" spans="1:7" ht="15.75" thickBot="1">
      <c r="A26" s="441" t="s">
        <v>1920</v>
      </c>
      <c r="B26" s="335"/>
      <c r="C26" s="335"/>
      <c r="D26" s="250">
        <v>7205</v>
      </c>
      <c r="E26" s="879">
        <v>15</v>
      </c>
      <c r="F26" s="879">
        <v>15</v>
      </c>
      <c r="G26" s="879">
        <v>100</v>
      </c>
    </row>
    <row r="27" spans="1:7" ht="15.75" thickBot="1">
      <c r="A27" s="441" t="s">
        <v>1591</v>
      </c>
      <c r="B27" s="335"/>
      <c r="C27" s="335"/>
      <c r="D27" s="250">
        <v>7210</v>
      </c>
      <c r="E27" s="879">
        <v>15</v>
      </c>
      <c r="F27" s="879">
        <v>15</v>
      </c>
      <c r="G27" s="879">
        <v>100</v>
      </c>
    </row>
    <row r="28" spans="1:7" ht="15.75" thickBot="1">
      <c r="A28" s="453" t="s">
        <v>1059</v>
      </c>
      <c r="B28" s="443"/>
      <c r="C28" s="443"/>
      <c r="D28" s="306">
        <v>7219</v>
      </c>
      <c r="E28" s="880">
        <f>SUM(E5:E27)</f>
        <v>345</v>
      </c>
      <c r="F28" s="880">
        <f>SUM(F5:F27)</f>
        <v>345</v>
      </c>
      <c r="G28" s="880">
        <f>SUM(G5:G27)</f>
        <v>2300</v>
      </c>
    </row>
    <row r="29" spans="1:7" ht="15.75" thickBot="1">
      <c r="A29" s="442" t="s">
        <v>1125</v>
      </c>
      <c r="B29" s="443"/>
      <c r="C29" s="443"/>
      <c r="D29" s="444"/>
      <c r="E29" s="881"/>
      <c r="F29" s="881"/>
      <c r="G29" s="882"/>
    </row>
    <row r="30" spans="1:7" ht="15.75" thickBot="1">
      <c r="A30" s="441" t="s">
        <v>1859</v>
      </c>
      <c r="B30" s="335" t="s">
        <v>1123</v>
      </c>
      <c r="C30" s="335" t="s">
        <v>1861</v>
      </c>
      <c r="D30" s="250">
        <v>7220</v>
      </c>
      <c r="E30" s="879">
        <v>20</v>
      </c>
      <c r="F30" s="879">
        <v>20</v>
      </c>
      <c r="G30" s="879">
        <v>100</v>
      </c>
    </row>
    <row r="31" spans="1:7" ht="15.75" thickBot="1">
      <c r="A31" s="441"/>
      <c r="B31" s="335" t="s">
        <v>1862</v>
      </c>
      <c r="C31" s="335" t="s">
        <v>1863</v>
      </c>
      <c r="D31" s="250">
        <v>7225</v>
      </c>
      <c r="E31" s="879">
        <v>20</v>
      </c>
      <c r="F31" s="879">
        <v>20</v>
      </c>
      <c r="G31" s="879">
        <v>100</v>
      </c>
    </row>
    <row r="32" spans="1:7" ht="15.75" thickBot="1">
      <c r="A32" s="441"/>
      <c r="B32" s="335" t="s">
        <v>1864</v>
      </c>
      <c r="C32" s="335" t="s">
        <v>1865</v>
      </c>
      <c r="D32" s="250">
        <v>7230</v>
      </c>
      <c r="E32" s="879">
        <v>20</v>
      </c>
      <c r="F32" s="879">
        <v>20</v>
      </c>
      <c r="G32" s="879">
        <v>100</v>
      </c>
    </row>
    <row r="33" spans="1:7" ht="15.75" thickBot="1">
      <c r="A33" s="441"/>
      <c r="B33" s="335" t="s">
        <v>1866</v>
      </c>
      <c r="C33" s="335" t="s">
        <v>1867</v>
      </c>
      <c r="D33" s="250">
        <v>7235</v>
      </c>
      <c r="E33" s="879">
        <v>20</v>
      </c>
      <c r="F33" s="879">
        <v>20</v>
      </c>
      <c r="G33" s="879">
        <v>100</v>
      </c>
    </row>
    <row r="34" spans="1:7" ht="15.75" thickBot="1">
      <c r="A34" s="441"/>
      <c r="B34" s="335" t="s">
        <v>1868</v>
      </c>
      <c r="C34" s="335" t="s">
        <v>1869</v>
      </c>
      <c r="D34" s="250">
        <v>7240</v>
      </c>
      <c r="E34" s="879">
        <v>20</v>
      </c>
      <c r="F34" s="879">
        <v>20</v>
      </c>
      <c r="G34" s="879">
        <v>100</v>
      </c>
    </row>
    <row r="35" spans="1:7" ht="15.75" thickBot="1">
      <c r="A35" s="441"/>
      <c r="B35" s="335" t="s">
        <v>1591</v>
      </c>
      <c r="C35" s="335"/>
      <c r="D35" s="250">
        <v>7245</v>
      </c>
      <c r="E35" s="879">
        <v>20</v>
      </c>
      <c r="F35" s="879">
        <v>20</v>
      </c>
      <c r="G35" s="879">
        <v>100</v>
      </c>
    </row>
    <row r="36" spans="1:7" ht="15.75" thickBot="1">
      <c r="A36" s="441" t="s">
        <v>1870</v>
      </c>
      <c r="B36" s="335" t="s">
        <v>1871</v>
      </c>
      <c r="C36" s="335" t="s">
        <v>1872</v>
      </c>
      <c r="D36" s="250">
        <v>7250</v>
      </c>
      <c r="E36" s="879">
        <v>20</v>
      </c>
      <c r="F36" s="879">
        <v>20</v>
      </c>
      <c r="G36" s="879">
        <v>100</v>
      </c>
    </row>
    <row r="37" spans="1:7" ht="15.75" thickBot="1">
      <c r="A37" s="441"/>
      <c r="B37" s="335" t="s">
        <v>1873</v>
      </c>
      <c r="C37" s="335" t="s">
        <v>1874</v>
      </c>
      <c r="D37" s="250">
        <v>7255</v>
      </c>
      <c r="E37" s="879">
        <v>20</v>
      </c>
      <c r="F37" s="879">
        <v>20</v>
      </c>
      <c r="G37" s="879">
        <v>100</v>
      </c>
    </row>
    <row r="38" spans="1:7" ht="15.75" thickBot="1">
      <c r="A38" s="441"/>
      <c r="B38" s="335" t="s">
        <v>1875</v>
      </c>
      <c r="C38" s="335" t="s">
        <v>1876</v>
      </c>
      <c r="D38" s="250">
        <v>7260</v>
      </c>
      <c r="E38" s="879">
        <v>20</v>
      </c>
      <c r="F38" s="879">
        <v>20</v>
      </c>
      <c r="G38" s="879">
        <v>100</v>
      </c>
    </row>
    <row r="39" spans="1:7" ht="15.75" thickBot="1">
      <c r="A39" s="441"/>
      <c r="B39" s="335" t="s">
        <v>1877</v>
      </c>
      <c r="C39" s="335" t="s">
        <v>1878</v>
      </c>
      <c r="D39" s="250">
        <v>7265</v>
      </c>
      <c r="E39" s="879">
        <v>20</v>
      </c>
      <c r="F39" s="879">
        <v>20</v>
      </c>
      <c r="G39" s="879">
        <v>100</v>
      </c>
    </row>
    <row r="40" spans="1:7" ht="15.75" thickBot="1">
      <c r="A40" s="441"/>
      <c r="B40" s="335" t="s">
        <v>1591</v>
      </c>
      <c r="C40" s="335"/>
      <c r="D40" s="250">
        <v>7270</v>
      </c>
      <c r="E40" s="879">
        <v>20</v>
      </c>
      <c r="F40" s="879">
        <v>20</v>
      </c>
      <c r="G40" s="879">
        <v>100</v>
      </c>
    </row>
    <row r="41" spans="1:7" ht="15.75" thickBot="1">
      <c r="A41" s="441" t="s">
        <v>1124</v>
      </c>
      <c r="B41" s="335" t="s">
        <v>1880</v>
      </c>
      <c r="C41" s="335" t="s">
        <v>1881</v>
      </c>
      <c r="D41" s="250">
        <v>7275</v>
      </c>
      <c r="E41" s="879">
        <v>20</v>
      </c>
      <c r="F41" s="879">
        <v>20</v>
      </c>
      <c r="G41" s="879">
        <v>100</v>
      </c>
    </row>
    <row r="42" spans="1:7" ht="15.75" thickBot="1">
      <c r="A42" s="441"/>
      <c r="B42" s="335" t="s">
        <v>1882</v>
      </c>
      <c r="C42" s="335" t="s">
        <v>1883</v>
      </c>
      <c r="D42" s="250">
        <v>7280</v>
      </c>
      <c r="E42" s="879">
        <v>20</v>
      </c>
      <c r="F42" s="879">
        <v>20</v>
      </c>
      <c r="G42" s="879">
        <v>100</v>
      </c>
    </row>
    <row r="43" spans="1:7" ht="15.75" thickBot="1">
      <c r="A43" s="441"/>
      <c r="B43" s="335" t="s">
        <v>1884</v>
      </c>
      <c r="C43" s="335" t="s">
        <v>1885</v>
      </c>
      <c r="D43" s="250">
        <v>7285</v>
      </c>
      <c r="E43" s="879">
        <v>20</v>
      </c>
      <c r="F43" s="879">
        <v>20</v>
      </c>
      <c r="G43" s="879">
        <v>100</v>
      </c>
    </row>
    <row r="44" spans="1:7" ht="15.75" thickBot="1">
      <c r="A44" s="441"/>
      <c r="B44" s="335" t="s">
        <v>1886</v>
      </c>
      <c r="C44" s="335" t="s">
        <v>1887</v>
      </c>
      <c r="D44" s="250">
        <v>7290</v>
      </c>
      <c r="E44" s="879">
        <v>20</v>
      </c>
      <c r="F44" s="879">
        <v>20</v>
      </c>
      <c r="G44" s="879">
        <v>100</v>
      </c>
    </row>
    <row r="45" spans="1:7" ht="15.75" thickBot="1">
      <c r="A45" s="441"/>
      <c r="B45" s="335" t="s">
        <v>1914</v>
      </c>
      <c r="C45" s="335" t="s">
        <v>1915</v>
      </c>
      <c r="D45" s="250">
        <v>7295</v>
      </c>
      <c r="E45" s="879">
        <v>20</v>
      </c>
      <c r="F45" s="879">
        <v>20</v>
      </c>
      <c r="G45" s="879">
        <v>100</v>
      </c>
    </row>
    <row r="46" spans="1:7" ht="15.75" thickBot="1">
      <c r="A46" s="441"/>
      <c r="B46" s="335" t="s">
        <v>1591</v>
      </c>
      <c r="C46" s="335"/>
      <c r="D46" s="250">
        <v>7300</v>
      </c>
      <c r="E46" s="879">
        <v>20</v>
      </c>
      <c r="F46" s="879">
        <v>20</v>
      </c>
      <c r="G46" s="879">
        <v>100</v>
      </c>
    </row>
    <row r="47" spans="1:7" ht="15.75" thickBot="1">
      <c r="A47" s="441" t="s">
        <v>1916</v>
      </c>
      <c r="B47" s="335" t="s">
        <v>1917</v>
      </c>
      <c r="C47" s="335"/>
      <c r="D47" s="250">
        <v>7305</v>
      </c>
      <c r="E47" s="879">
        <v>20</v>
      </c>
      <c r="F47" s="879">
        <v>20</v>
      </c>
      <c r="G47" s="879">
        <v>100</v>
      </c>
    </row>
    <row r="48" spans="1:7" ht="15.75" thickBot="1">
      <c r="A48" s="441"/>
      <c r="B48" s="335" t="s">
        <v>1918</v>
      </c>
      <c r="C48" s="335"/>
      <c r="D48" s="250">
        <v>7310</v>
      </c>
      <c r="E48" s="879">
        <v>20</v>
      </c>
      <c r="F48" s="879">
        <v>20</v>
      </c>
      <c r="G48" s="879">
        <v>100</v>
      </c>
    </row>
    <row r="49" spans="1:8" ht="15.75" thickBot="1">
      <c r="A49" s="441"/>
      <c r="B49" s="335" t="s">
        <v>1919</v>
      </c>
      <c r="C49" s="335"/>
      <c r="D49" s="250">
        <v>7315</v>
      </c>
      <c r="E49" s="879">
        <v>20</v>
      </c>
      <c r="F49" s="879">
        <v>20</v>
      </c>
      <c r="G49" s="879">
        <v>100</v>
      </c>
    </row>
    <row r="50" spans="1:8" ht="15.75" thickBot="1">
      <c r="A50" s="441"/>
      <c r="B50" s="335" t="s">
        <v>1591</v>
      </c>
      <c r="C50" s="335"/>
      <c r="D50" s="250">
        <v>7320</v>
      </c>
      <c r="E50" s="879">
        <v>20</v>
      </c>
      <c r="F50" s="879">
        <v>20</v>
      </c>
      <c r="G50" s="879">
        <v>100</v>
      </c>
    </row>
    <row r="51" spans="1:8" ht="15.75" thickBot="1">
      <c r="A51" s="441" t="s">
        <v>1920</v>
      </c>
      <c r="B51" s="335"/>
      <c r="C51" s="335"/>
      <c r="D51" s="250">
        <v>7325</v>
      </c>
      <c r="E51" s="879">
        <v>20</v>
      </c>
      <c r="F51" s="879">
        <v>20</v>
      </c>
      <c r="G51" s="879">
        <v>100</v>
      </c>
    </row>
    <row r="52" spans="1:8" ht="15.75" thickBot="1">
      <c r="A52" s="441" t="s">
        <v>1591</v>
      </c>
      <c r="B52" s="335"/>
      <c r="C52" s="335"/>
      <c r="D52" s="336">
        <v>7330</v>
      </c>
      <c r="E52" s="879">
        <v>20</v>
      </c>
      <c r="F52" s="879">
        <v>20</v>
      </c>
      <c r="G52" s="879">
        <v>100</v>
      </c>
    </row>
    <row r="53" spans="1:8" ht="15">
      <c r="A53" s="448" t="s">
        <v>1059</v>
      </c>
      <c r="B53" s="445"/>
      <c r="C53" s="445"/>
      <c r="D53" s="446">
        <v>7399</v>
      </c>
      <c r="E53" s="880">
        <f>SUM(E30:E52)</f>
        <v>460</v>
      </c>
      <c r="F53" s="880">
        <f>SUM(F30:F52)</f>
        <v>460</v>
      </c>
      <c r="G53" s="880">
        <f>SUM(G30:G52)</f>
        <v>2300</v>
      </c>
    </row>
    <row r="54" spans="1:8" s="41" customFormat="1" ht="36" customHeight="1" thickBot="1">
      <c r="A54" s="449" t="s">
        <v>307</v>
      </c>
      <c r="B54" s="450"/>
      <c r="C54" s="451"/>
      <c r="D54" s="452">
        <v>7500</v>
      </c>
      <c r="E54" s="879">
        <v>25</v>
      </c>
      <c r="F54" s="879">
        <v>25</v>
      </c>
      <c r="G54" s="879">
        <v>850</v>
      </c>
      <c r="H54" s="85"/>
    </row>
    <row r="55" spans="1:8" ht="16.5" thickBot="1">
      <c r="A55" s="1099" t="s">
        <v>1059</v>
      </c>
      <c r="B55" s="1100"/>
      <c r="C55" s="1100"/>
      <c r="D55" s="1101">
        <v>8599</v>
      </c>
      <c r="E55" s="880">
        <f>E28+E53+E54</f>
        <v>830</v>
      </c>
      <c r="F55" s="880">
        <f>F28+F53+F54</f>
        <v>830</v>
      </c>
      <c r="G55" s="880">
        <f>G28+G53+G54</f>
        <v>5450</v>
      </c>
    </row>
    <row r="57" spans="1:8" s="12" customFormat="1" ht="15.75">
      <c r="A57" s="83"/>
      <c r="B57" s="43"/>
      <c r="C57" s="37">
        <v>10</v>
      </c>
      <c r="D57" s="28" t="b">
        <f>OR(IF(E5,TRUE,FALSE), IF(F5,TRUE,FALSE))=IF(G5,TRUE,FALSE)</f>
        <v>1</v>
      </c>
      <c r="E57" s="38" t="s">
        <v>303</v>
      </c>
      <c r="F57" s="39"/>
      <c r="G57" s="39"/>
      <c r="H57" s="39"/>
    </row>
    <row r="58" spans="1:8" s="12" customFormat="1" ht="15.75">
      <c r="A58" s="41"/>
      <c r="B58" s="43"/>
      <c r="C58" s="37">
        <v>20</v>
      </c>
      <c r="D58" s="28" t="b">
        <f t="shared" ref="D58:D80" si="0">OR(IF(E6,TRUE,FALSE), IF(F6,TRUE,FALSE))=IF(G6,TRUE,FALSE)</f>
        <v>1</v>
      </c>
      <c r="E58" s="38" t="s">
        <v>304</v>
      </c>
      <c r="F58" s="39"/>
      <c r="G58" s="39"/>
      <c r="H58" s="39"/>
    </row>
    <row r="59" spans="1:8" s="12" customFormat="1" ht="15.75">
      <c r="A59" s="41"/>
      <c r="B59" s="43"/>
      <c r="C59" s="37">
        <v>30</v>
      </c>
      <c r="D59" s="28" t="b">
        <f t="shared" si="0"/>
        <v>1</v>
      </c>
      <c r="E59" s="38" t="s">
        <v>797</v>
      </c>
      <c r="F59" s="39"/>
      <c r="G59" s="39"/>
      <c r="H59" s="39"/>
    </row>
    <row r="60" spans="1:8" s="12" customFormat="1" ht="15.75">
      <c r="A60" s="41"/>
      <c r="B60" s="43"/>
      <c r="C60" s="37">
        <v>40</v>
      </c>
      <c r="D60" s="28" t="b">
        <f t="shared" si="0"/>
        <v>1</v>
      </c>
      <c r="E60" s="38" t="s">
        <v>798</v>
      </c>
      <c r="F60" s="39"/>
      <c r="G60" s="39"/>
      <c r="H60" s="39"/>
    </row>
    <row r="61" spans="1:8" s="12" customFormat="1" ht="15.75">
      <c r="A61" s="41"/>
      <c r="B61" s="43"/>
      <c r="C61" s="37">
        <v>50</v>
      </c>
      <c r="D61" s="28" t="b">
        <f t="shared" si="0"/>
        <v>1</v>
      </c>
      <c r="E61" s="38" t="s">
        <v>799</v>
      </c>
      <c r="F61" s="39"/>
      <c r="G61" s="39"/>
      <c r="H61" s="39"/>
    </row>
    <row r="62" spans="1:8" s="12" customFormat="1" ht="15.75">
      <c r="A62" s="41"/>
      <c r="B62" s="43"/>
      <c r="C62" s="37">
        <v>60</v>
      </c>
      <c r="D62" s="28" t="b">
        <f t="shared" si="0"/>
        <v>1</v>
      </c>
      <c r="E62" s="38" t="s">
        <v>800</v>
      </c>
      <c r="F62" s="39"/>
      <c r="G62" s="39"/>
      <c r="H62" s="39"/>
    </row>
    <row r="63" spans="1:8" s="12" customFormat="1" ht="15.75">
      <c r="A63" s="41"/>
      <c r="B63" s="43"/>
      <c r="C63" s="37">
        <v>70</v>
      </c>
      <c r="D63" s="28" t="b">
        <f t="shared" si="0"/>
        <v>1</v>
      </c>
      <c r="E63" s="38" t="s">
        <v>801</v>
      </c>
      <c r="F63" s="39"/>
      <c r="G63" s="39"/>
      <c r="H63" s="39"/>
    </row>
    <row r="64" spans="1:8" s="12" customFormat="1" ht="15.75">
      <c r="A64" s="41"/>
      <c r="B64" s="43"/>
      <c r="C64" s="37">
        <v>80</v>
      </c>
      <c r="D64" s="28" t="b">
        <f t="shared" si="0"/>
        <v>1</v>
      </c>
      <c r="E64" s="38" t="s">
        <v>802</v>
      </c>
      <c r="F64" s="39"/>
      <c r="G64" s="39"/>
      <c r="H64" s="39"/>
    </row>
    <row r="65" spans="1:8" s="12" customFormat="1" ht="15.75">
      <c r="A65" s="41"/>
      <c r="B65" s="43"/>
      <c r="C65" s="37">
        <v>90</v>
      </c>
      <c r="D65" s="28" t="b">
        <f t="shared" si="0"/>
        <v>1</v>
      </c>
      <c r="E65" s="38" t="s">
        <v>803</v>
      </c>
      <c r="F65" s="39"/>
      <c r="G65" s="39"/>
      <c r="H65" s="39"/>
    </row>
    <row r="66" spans="1:8" s="12" customFormat="1" ht="15.75">
      <c r="A66" s="41"/>
      <c r="B66" s="43"/>
      <c r="C66" s="37">
        <v>100</v>
      </c>
      <c r="D66" s="28" t="b">
        <f t="shared" si="0"/>
        <v>1</v>
      </c>
      <c r="E66" s="38" t="s">
        <v>804</v>
      </c>
      <c r="F66" s="39"/>
      <c r="G66" s="39"/>
      <c r="H66" s="39"/>
    </row>
    <row r="67" spans="1:8" s="12" customFormat="1" ht="15.75">
      <c r="A67" s="41"/>
      <c r="B67" s="43"/>
      <c r="C67" s="37">
        <v>110</v>
      </c>
      <c r="D67" s="28" t="b">
        <f t="shared" si="0"/>
        <v>1</v>
      </c>
      <c r="E67" s="38" t="s">
        <v>805</v>
      </c>
      <c r="F67" s="39"/>
      <c r="G67" s="39"/>
      <c r="H67" s="39"/>
    </row>
    <row r="68" spans="1:8" s="12" customFormat="1" ht="15.75">
      <c r="A68" s="41"/>
      <c r="B68" s="43"/>
      <c r="C68" s="37">
        <v>120</v>
      </c>
      <c r="D68" s="28" t="b">
        <f t="shared" si="0"/>
        <v>1</v>
      </c>
      <c r="E68" s="38" t="s">
        <v>806</v>
      </c>
      <c r="F68" s="39"/>
      <c r="G68" s="39"/>
      <c r="H68" s="39"/>
    </row>
    <row r="69" spans="1:8" s="12" customFormat="1" ht="15.75">
      <c r="A69" s="41"/>
      <c r="B69" s="43"/>
      <c r="C69" s="37">
        <v>130</v>
      </c>
      <c r="D69" s="28" t="b">
        <f t="shared" si="0"/>
        <v>1</v>
      </c>
      <c r="E69" s="38" t="s">
        <v>807</v>
      </c>
      <c r="F69" s="39"/>
      <c r="G69" s="39"/>
      <c r="H69" s="39"/>
    </row>
    <row r="70" spans="1:8" s="12" customFormat="1" ht="15.75">
      <c r="A70" s="41"/>
      <c r="B70" s="43"/>
      <c r="C70" s="37">
        <v>140</v>
      </c>
      <c r="D70" s="28" t="b">
        <f t="shared" si="0"/>
        <v>1</v>
      </c>
      <c r="E70" s="38" t="s">
        <v>1978</v>
      </c>
      <c r="F70" s="39"/>
      <c r="G70" s="39"/>
      <c r="H70" s="39"/>
    </row>
    <row r="71" spans="1:8" s="12" customFormat="1" ht="15.75">
      <c r="A71" s="41"/>
      <c r="B71" s="43"/>
      <c r="C71" s="37">
        <v>150</v>
      </c>
      <c r="D71" s="28" t="b">
        <f t="shared" si="0"/>
        <v>1</v>
      </c>
      <c r="E71" s="38" t="s">
        <v>545</v>
      </c>
      <c r="F71" s="39"/>
      <c r="G71" s="39"/>
      <c r="H71" s="39"/>
    </row>
    <row r="72" spans="1:8" s="12" customFormat="1" ht="15.75">
      <c r="A72" s="41"/>
      <c r="B72" s="43"/>
      <c r="C72" s="37">
        <v>160</v>
      </c>
      <c r="D72" s="28" t="b">
        <f t="shared" si="0"/>
        <v>1</v>
      </c>
      <c r="E72" s="38" t="s">
        <v>546</v>
      </c>
      <c r="F72" s="39"/>
      <c r="G72" s="39"/>
      <c r="H72" s="39"/>
    </row>
    <row r="73" spans="1:8" s="12" customFormat="1" ht="15.75">
      <c r="A73" s="41"/>
      <c r="B73" s="43"/>
      <c r="C73" s="37">
        <v>170</v>
      </c>
      <c r="D73" s="28" t="b">
        <f t="shared" si="0"/>
        <v>1</v>
      </c>
      <c r="E73" s="38" t="s">
        <v>547</v>
      </c>
      <c r="F73" s="39"/>
      <c r="G73" s="39"/>
      <c r="H73" s="39"/>
    </row>
    <row r="74" spans="1:8" s="12" customFormat="1" ht="15.75">
      <c r="A74" s="41"/>
      <c r="B74" s="43"/>
      <c r="C74" s="37">
        <v>180</v>
      </c>
      <c r="D74" s="28" t="b">
        <f t="shared" si="0"/>
        <v>1</v>
      </c>
      <c r="E74" s="38" t="s">
        <v>548</v>
      </c>
      <c r="F74" s="39"/>
      <c r="G74" s="39"/>
      <c r="H74" s="39"/>
    </row>
    <row r="75" spans="1:8" s="12" customFormat="1" ht="15.75">
      <c r="A75" s="41"/>
      <c r="B75" s="43"/>
      <c r="C75" s="37">
        <v>190</v>
      </c>
      <c r="D75" s="28" t="b">
        <f t="shared" si="0"/>
        <v>1</v>
      </c>
      <c r="E75" s="38" t="s">
        <v>549</v>
      </c>
      <c r="F75" s="39"/>
      <c r="G75" s="39"/>
      <c r="H75" s="39"/>
    </row>
    <row r="76" spans="1:8" s="12" customFormat="1" ht="15.75">
      <c r="A76" s="41"/>
      <c r="B76" s="43"/>
      <c r="C76" s="37">
        <v>200</v>
      </c>
      <c r="D76" s="28" t="b">
        <f t="shared" si="0"/>
        <v>1</v>
      </c>
      <c r="E76" s="38" t="s">
        <v>550</v>
      </c>
      <c r="F76" s="39"/>
      <c r="G76" s="39"/>
      <c r="H76" s="39"/>
    </row>
    <row r="77" spans="1:8" s="12" customFormat="1" ht="15.75">
      <c r="A77" s="41"/>
      <c r="B77" s="43"/>
      <c r="C77" s="37">
        <v>210</v>
      </c>
      <c r="D77" s="28" t="b">
        <f t="shared" si="0"/>
        <v>1</v>
      </c>
      <c r="E77" s="38" t="s">
        <v>551</v>
      </c>
      <c r="F77" s="39"/>
      <c r="G77" s="39"/>
      <c r="H77" s="39"/>
    </row>
    <row r="78" spans="1:8" s="12" customFormat="1" ht="15.75">
      <c r="A78" s="41"/>
      <c r="B78" s="43"/>
      <c r="C78" s="37">
        <v>220</v>
      </c>
      <c r="D78" s="28" t="b">
        <f t="shared" si="0"/>
        <v>1</v>
      </c>
      <c r="E78" s="38" t="s">
        <v>552</v>
      </c>
      <c r="F78" s="39"/>
      <c r="G78" s="39"/>
      <c r="H78" s="39"/>
    </row>
    <row r="79" spans="1:8" s="12" customFormat="1" ht="15.75">
      <c r="A79" s="41"/>
      <c r="B79" s="43"/>
      <c r="C79" s="37">
        <v>230</v>
      </c>
      <c r="D79" s="28" t="b">
        <f t="shared" si="0"/>
        <v>1</v>
      </c>
      <c r="E79" s="38" t="s">
        <v>553</v>
      </c>
      <c r="F79" s="39"/>
      <c r="G79" s="39"/>
      <c r="H79" s="39"/>
    </row>
    <row r="80" spans="1:8" s="12" customFormat="1" ht="15.75">
      <c r="A80" s="41"/>
      <c r="B80" s="43"/>
      <c r="C80" s="37">
        <v>240</v>
      </c>
      <c r="D80" s="28" t="b">
        <f t="shared" si="0"/>
        <v>1</v>
      </c>
      <c r="E80" s="38" t="s">
        <v>554</v>
      </c>
      <c r="F80" s="39"/>
      <c r="G80" s="39"/>
      <c r="H80" s="39"/>
    </row>
    <row r="81" spans="1:8" s="12" customFormat="1" ht="15.75">
      <c r="A81" s="41"/>
      <c r="B81" s="43"/>
      <c r="C81" s="37">
        <v>250</v>
      </c>
      <c r="D81" s="28" t="b">
        <f>OR(IF(E30,TRUE,FALSE), IF(F30,TRUE,FALSE))=IF(G30,TRUE,FALSE)</f>
        <v>1</v>
      </c>
      <c r="E81" s="38" t="s">
        <v>555</v>
      </c>
      <c r="F81" s="39"/>
      <c r="G81" s="39"/>
      <c r="H81" s="39"/>
    </row>
    <row r="82" spans="1:8" s="12" customFormat="1" ht="15.75">
      <c r="A82" s="41"/>
      <c r="B82" s="43"/>
      <c r="C82" s="37">
        <v>260</v>
      </c>
      <c r="D82" s="28" t="b">
        <f t="shared" ref="D82:D104" si="1">OR(IF(E31,TRUE,FALSE), IF(F31,TRUE,FALSE))=IF(G31,TRUE,FALSE)</f>
        <v>1</v>
      </c>
      <c r="E82" s="38" t="s">
        <v>556</v>
      </c>
      <c r="F82" s="39"/>
      <c r="G82" s="39"/>
      <c r="H82" s="39"/>
    </row>
    <row r="83" spans="1:8" s="12" customFormat="1" ht="15.75">
      <c r="A83" s="41"/>
      <c r="B83" s="43"/>
      <c r="C83" s="37">
        <v>270</v>
      </c>
      <c r="D83" s="28" t="b">
        <f t="shared" si="1"/>
        <v>1</v>
      </c>
      <c r="E83" s="38" t="s">
        <v>557</v>
      </c>
      <c r="F83" s="39"/>
      <c r="G83" s="39"/>
      <c r="H83" s="39"/>
    </row>
    <row r="84" spans="1:8" s="12" customFormat="1" ht="15.75">
      <c r="A84" s="41"/>
      <c r="B84" s="43"/>
      <c r="C84" s="37">
        <v>280</v>
      </c>
      <c r="D84" s="28" t="b">
        <f t="shared" si="1"/>
        <v>1</v>
      </c>
      <c r="E84" s="38" t="s">
        <v>558</v>
      </c>
      <c r="F84" s="39"/>
      <c r="G84" s="39"/>
      <c r="H84" s="39"/>
    </row>
    <row r="85" spans="1:8" s="12" customFormat="1" ht="15.75">
      <c r="A85" s="41"/>
      <c r="B85" s="43"/>
      <c r="C85" s="37">
        <v>290</v>
      </c>
      <c r="D85" s="28" t="b">
        <f t="shared" si="1"/>
        <v>1</v>
      </c>
      <c r="E85" s="38" t="s">
        <v>559</v>
      </c>
      <c r="F85" s="39"/>
      <c r="G85" s="39"/>
      <c r="H85" s="39"/>
    </row>
    <row r="86" spans="1:8" s="12" customFormat="1" ht="15.75">
      <c r="A86" s="41"/>
      <c r="B86" s="43"/>
      <c r="C86" s="37">
        <v>300</v>
      </c>
      <c r="D86" s="28" t="b">
        <f t="shared" si="1"/>
        <v>1</v>
      </c>
      <c r="E86" s="38" t="s">
        <v>560</v>
      </c>
      <c r="F86" s="39"/>
      <c r="G86" s="39"/>
      <c r="H86" s="39"/>
    </row>
    <row r="87" spans="1:8" s="12" customFormat="1" ht="15.75">
      <c r="A87" s="41"/>
      <c r="B87" s="43"/>
      <c r="C87" s="37">
        <v>310</v>
      </c>
      <c r="D87" s="28" t="b">
        <f t="shared" si="1"/>
        <v>1</v>
      </c>
      <c r="E87" s="38" t="s">
        <v>561</v>
      </c>
      <c r="F87" s="39"/>
      <c r="G87" s="39"/>
      <c r="H87" s="39"/>
    </row>
    <row r="88" spans="1:8" s="12" customFormat="1" ht="15.75">
      <c r="A88" s="41"/>
      <c r="B88" s="43"/>
      <c r="C88" s="37">
        <v>320</v>
      </c>
      <c r="D88" s="28" t="b">
        <f t="shared" si="1"/>
        <v>1</v>
      </c>
      <c r="E88" s="38" t="s">
        <v>562</v>
      </c>
      <c r="F88" s="39"/>
      <c r="G88" s="39"/>
      <c r="H88" s="39"/>
    </row>
    <row r="89" spans="1:8" s="12" customFormat="1" ht="15.75">
      <c r="A89" s="41"/>
      <c r="B89" s="43"/>
      <c r="C89" s="37">
        <v>330</v>
      </c>
      <c r="D89" s="28" t="b">
        <f t="shared" si="1"/>
        <v>1</v>
      </c>
      <c r="E89" s="38" t="s">
        <v>563</v>
      </c>
      <c r="F89" s="39"/>
      <c r="G89" s="39"/>
      <c r="H89" s="39"/>
    </row>
    <row r="90" spans="1:8" s="12" customFormat="1" ht="15.75">
      <c r="A90" s="41"/>
      <c r="B90" s="43"/>
      <c r="C90" s="37">
        <v>340</v>
      </c>
      <c r="D90" s="28" t="b">
        <f t="shared" si="1"/>
        <v>1</v>
      </c>
      <c r="E90" s="38" t="s">
        <v>1992</v>
      </c>
      <c r="F90" s="39"/>
      <c r="G90" s="39"/>
      <c r="H90" s="39"/>
    </row>
    <row r="91" spans="1:8" s="12" customFormat="1" ht="15.75">
      <c r="A91" s="41"/>
      <c r="B91" s="43"/>
      <c r="C91" s="37">
        <v>350</v>
      </c>
      <c r="D91" s="28" t="b">
        <f t="shared" si="1"/>
        <v>1</v>
      </c>
      <c r="E91" s="38" t="s">
        <v>1993</v>
      </c>
      <c r="F91" s="39"/>
      <c r="G91" s="39"/>
      <c r="H91" s="39"/>
    </row>
    <row r="92" spans="1:8" s="12" customFormat="1" ht="15.75">
      <c r="A92" s="41"/>
      <c r="B92" s="43"/>
      <c r="C92" s="37">
        <v>360</v>
      </c>
      <c r="D92" s="28" t="b">
        <f t="shared" si="1"/>
        <v>1</v>
      </c>
      <c r="E92" s="38" t="s">
        <v>1994</v>
      </c>
      <c r="F92" s="39"/>
      <c r="G92" s="39"/>
      <c r="H92" s="39"/>
    </row>
    <row r="93" spans="1:8" s="12" customFormat="1" ht="15.75">
      <c r="A93" s="41"/>
      <c r="B93" s="43"/>
      <c r="C93" s="37">
        <v>370</v>
      </c>
      <c r="D93" s="28" t="b">
        <f t="shared" si="1"/>
        <v>1</v>
      </c>
      <c r="E93" s="38" t="s">
        <v>1995</v>
      </c>
      <c r="F93" s="39"/>
      <c r="G93" s="39"/>
      <c r="H93" s="39"/>
    </row>
    <row r="94" spans="1:8" s="12" customFormat="1" ht="15.75">
      <c r="A94" s="41"/>
      <c r="B94" s="43"/>
      <c r="C94" s="37">
        <v>380</v>
      </c>
      <c r="D94" s="28" t="b">
        <f t="shared" si="1"/>
        <v>1</v>
      </c>
      <c r="E94" s="38" t="s">
        <v>1996</v>
      </c>
      <c r="F94" s="39"/>
      <c r="G94" s="39"/>
      <c r="H94" s="39"/>
    </row>
    <row r="95" spans="1:8" s="12" customFormat="1" ht="15.75">
      <c r="A95" s="41"/>
      <c r="B95" s="43"/>
      <c r="C95" s="37">
        <v>390</v>
      </c>
      <c r="D95" s="28" t="b">
        <f t="shared" si="1"/>
        <v>1</v>
      </c>
      <c r="E95" s="38" t="s">
        <v>1997</v>
      </c>
      <c r="F95" s="39"/>
      <c r="G95" s="39"/>
      <c r="H95" s="39"/>
    </row>
    <row r="96" spans="1:8" s="12" customFormat="1" ht="15.75">
      <c r="A96" s="41"/>
      <c r="B96" s="43"/>
      <c r="C96" s="37">
        <v>400</v>
      </c>
      <c r="D96" s="28" t="b">
        <f t="shared" si="1"/>
        <v>1</v>
      </c>
      <c r="E96" s="38" t="s">
        <v>1998</v>
      </c>
      <c r="F96" s="39"/>
      <c r="G96" s="39"/>
      <c r="H96" s="39"/>
    </row>
    <row r="97" spans="1:11" s="12" customFormat="1" ht="15.75">
      <c r="A97" s="41"/>
      <c r="B97" s="43"/>
      <c r="C97" s="37">
        <v>410</v>
      </c>
      <c r="D97" s="28" t="b">
        <f t="shared" si="1"/>
        <v>1</v>
      </c>
      <c r="E97" s="38" t="s">
        <v>1999</v>
      </c>
      <c r="F97" s="39"/>
      <c r="G97" s="39"/>
      <c r="H97" s="39"/>
    </row>
    <row r="98" spans="1:11" s="12" customFormat="1" ht="15.75">
      <c r="A98" s="41"/>
      <c r="B98" s="43"/>
      <c r="C98" s="37">
        <v>420</v>
      </c>
      <c r="D98" s="28" t="b">
        <f t="shared" si="1"/>
        <v>1</v>
      </c>
      <c r="E98" s="38" t="s">
        <v>2000</v>
      </c>
      <c r="F98" s="39"/>
      <c r="G98" s="39"/>
      <c r="H98" s="39"/>
    </row>
    <row r="99" spans="1:11" s="12" customFormat="1" ht="15.75">
      <c r="A99" s="41"/>
      <c r="B99" s="43"/>
      <c r="C99" s="37">
        <v>430</v>
      </c>
      <c r="D99" s="28" t="b">
        <f t="shared" si="1"/>
        <v>1</v>
      </c>
      <c r="E99" s="38" t="s">
        <v>2001</v>
      </c>
      <c r="F99" s="39"/>
      <c r="G99" s="39"/>
      <c r="H99" s="39"/>
    </row>
    <row r="100" spans="1:11" s="12" customFormat="1" ht="15.75">
      <c r="A100" s="41"/>
      <c r="B100" s="43"/>
      <c r="C100" s="37">
        <v>440</v>
      </c>
      <c r="D100" s="28" t="b">
        <f t="shared" si="1"/>
        <v>1</v>
      </c>
      <c r="E100" s="38" t="s">
        <v>2002</v>
      </c>
      <c r="F100" s="39"/>
      <c r="G100" s="39"/>
      <c r="H100" s="39"/>
    </row>
    <row r="101" spans="1:11" s="12" customFormat="1" ht="15.75">
      <c r="A101" s="41"/>
      <c r="B101" s="43"/>
      <c r="C101" s="37">
        <v>450</v>
      </c>
      <c r="D101" s="28" t="b">
        <f t="shared" si="1"/>
        <v>1</v>
      </c>
      <c r="E101" s="38" t="s">
        <v>2003</v>
      </c>
      <c r="F101" s="39"/>
      <c r="G101" s="39"/>
      <c r="H101" s="39"/>
    </row>
    <row r="102" spans="1:11" s="12" customFormat="1" ht="15.75">
      <c r="A102" s="41"/>
      <c r="B102" s="43"/>
      <c r="C102" s="37">
        <v>460</v>
      </c>
      <c r="D102" s="28" t="b">
        <f t="shared" si="1"/>
        <v>1</v>
      </c>
      <c r="E102" s="38" t="s">
        <v>2004</v>
      </c>
      <c r="F102" s="39"/>
      <c r="G102" s="39"/>
      <c r="H102" s="39"/>
    </row>
    <row r="103" spans="1:11" s="12" customFormat="1" ht="15.75">
      <c r="A103" s="41"/>
      <c r="B103" s="43"/>
      <c r="C103" s="37">
        <v>470</v>
      </c>
      <c r="D103" s="28" t="b">
        <f t="shared" si="1"/>
        <v>1</v>
      </c>
      <c r="E103" s="38" t="s">
        <v>2005</v>
      </c>
      <c r="F103" s="39"/>
      <c r="G103" s="39"/>
      <c r="H103" s="39"/>
      <c r="I103" s="41"/>
      <c r="J103" s="41"/>
      <c r="K103" s="41"/>
    </row>
    <row r="104" spans="1:11" s="12" customFormat="1" ht="15.75">
      <c r="A104" s="41"/>
      <c r="B104" s="43"/>
      <c r="C104" s="37">
        <v>480</v>
      </c>
      <c r="D104" s="28" t="b">
        <f t="shared" si="1"/>
        <v>1</v>
      </c>
      <c r="E104" s="38" t="s">
        <v>2006</v>
      </c>
      <c r="F104" s="39"/>
      <c r="G104" s="39"/>
      <c r="H104" s="39"/>
      <c r="I104" s="41"/>
      <c r="J104" s="41"/>
      <c r="K104" s="41"/>
    </row>
    <row r="105" spans="1:11" s="12" customFormat="1" ht="15.75">
      <c r="A105" s="41"/>
      <c r="B105" s="43"/>
      <c r="C105" s="37">
        <v>490</v>
      </c>
      <c r="D105" s="28" t="b">
        <f>E28=SUM(E5:E27)</f>
        <v>1</v>
      </c>
      <c r="E105" s="38" t="s">
        <v>2007</v>
      </c>
      <c r="F105" s="39"/>
      <c r="G105" s="39"/>
      <c r="H105" s="39"/>
      <c r="I105" s="41"/>
      <c r="J105" s="41"/>
      <c r="K105" s="41"/>
    </row>
    <row r="106" spans="1:11" s="12" customFormat="1" ht="15.75">
      <c r="A106" s="41"/>
      <c r="B106" s="43"/>
      <c r="C106" s="37">
        <v>500</v>
      </c>
      <c r="D106" s="28" t="b">
        <f>F28=SUM(F5:F27)</f>
        <v>1</v>
      </c>
      <c r="E106" s="38" t="s">
        <v>2008</v>
      </c>
      <c r="F106" s="39"/>
      <c r="G106" s="39"/>
      <c r="H106" s="39"/>
      <c r="I106" s="41"/>
      <c r="J106" s="41"/>
      <c r="K106" s="41"/>
    </row>
    <row r="107" spans="1:11" s="12" customFormat="1" ht="15.75">
      <c r="A107" s="41"/>
      <c r="B107" s="43"/>
      <c r="C107" s="37">
        <v>510</v>
      </c>
      <c r="D107" s="28" t="b">
        <f>G28=SUM(G5:G27)</f>
        <v>1</v>
      </c>
      <c r="E107" s="38" t="s">
        <v>2009</v>
      </c>
      <c r="F107" s="39"/>
      <c r="G107" s="39"/>
      <c r="H107" s="39"/>
      <c r="I107" s="41"/>
      <c r="J107" s="41"/>
      <c r="K107" s="41"/>
    </row>
    <row r="108" spans="1:11" s="12" customFormat="1" ht="15.75">
      <c r="A108" s="41"/>
      <c r="B108" s="43"/>
      <c r="C108" s="37">
        <v>520</v>
      </c>
      <c r="D108" s="28" t="b">
        <f>E53=SUM(E30:E52)</f>
        <v>1</v>
      </c>
      <c r="E108" s="38" t="s">
        <v>2010</v>
      </c>
      <c r="F108" s="39"/>
      <c r="G108" s="39"/>
      <c r="H108" s="39"/>
      <c r="I108" s="41"/>
      <c r="J108" s="41"/>
      <c r="K108" s="41"/>
    </row>
    <row r="109" spans="1:11" s="12" customFormat="1" ht="15.75">
      <c r="A109" s="41"/>
      <c r="B109" s="43"/>
      <c r="C109" s="37">
        <v>530</v>
      </c>
      <c r="D109" s="28" t="b">
        <f>F53=SUM(F30:F52)</f>
        <v>1</v>
      </c>
      <c r="E109" s="38" t="s">
        <v>2011</v>
      </c>
      <c r="F109" s="39"/>
      <c r="G109" s="39"/>
      <c r="H109" s="39"/>
      <c r="I109" s="41"/>
      <c r="J109" s="41"/>
      <c r="K109" s="41"/>
    </row>
    <row r="110" spans="1:11" s="12" customFormat="1" ht="15.75">
      <c r="A110" s="41"/>
      <c r="B110" s="43"/>
      <c r="C110" s="37">
        <v>540</v>
      </c>
      <c r="D110" s="28" t="b">
        <f>G53=SUM(G30:G52)</f>
        <v>1</v>
      </c>
      <c r="E110" s="38" t="s">
        <v>2012</v>
      </c>
      <c r="F110" s="39"/>
      <c r="G110" s="39"/>
      <c r="H110" s="39"/>
      <c r="I110" s="41"/>
      <c r="J110" s="41"/>
      <c r="K110" s="41"/>
    </row>
    <row r="111" spans="1:11" s="5" customFormat="1" ht="13.5">
      <c r="C111" s="37">
        <v>542</v>
      </c>
      <c r="D111" s="1113" t="b">
        <f>E55=SUM(E28,E53,E54)</f>
        <v>1</v>
      </c>
      <c r="E111" s="38" t="s">
        <v>441</v>
      </c>
    </row>
    <row r="112" spans="1:11" s="5" customFormat="1" ht="13.5">
      <c r="C112" s="37">
        <v>544</v>
      </c>
      <c r="D112" s="1113" t="b">
        <f>F55=SUM(F28,F53,F54)</f>
        <v>1</v>
      </c>
      <c r="E112" s="38" t="s">
        <v>442</v>
      </c>
    </row>
    <row r="113" spans="3:5" s="5" customFormat="1" ht="13.5">
      <c r="C113" s="37">
        <v>546</v>
      </c>
      <c r="D113" s="1113" t="b">
        <f>G55=SUM(G28,G53,G54)</f>
        <v>1</v>
      </c>
      <c r="E113" s="38" t="s">
        <v>443</v>
      </c>
    </row>
    <row r="115" spans="3:5">
      <c r="C115" t="s">
        <v>2500</v>
      </c>
    </row>
  </sheetData>
  <customSheetViews>
    <customSheetView guid="{5D819D0C-25F7-408A-B978-F4F86F7655CA}" showPageBreaks="1" showRuler="0" topLeftCell="A31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0.52" bottom="0.67" header="0.21" footer="0.5"/>
  <pageSetup paperSize="8" orientation="portrait" r:id="rId4"/>
  <headerFooter alignWithMargins="0">
    <oddHeader>&amp;C11.A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Normal="100" workbookViewId="0"/>
  </sheetViews>
  <sheetFormatPr defaultRowHeight="12.75"/>
  <cols>
    <col min="1" max="1" width="43.7109375" customWidth="1"/>
    <col min="2" max="2" width="19.85546875" customWidth="1"/>
    <col min="3" max="3" width="8.140625" customWidth="1"/>
    <col min="4" max="4" width="7.140625" customWidth="1"/>
    <col min="5" max="5" width="7.42578125" customWidth="1"/>
    <col min="6" max="6" width="7.85546875" customWidth="1"/>
    <col min="7" max="7" width="7.5703125" customWidth="1"/>
    <col min="8" max="8" width="8.42578125" customWidth="1"/>
    <col min="10" max="10" width="28" customWidth="1"/>
    <col min="11" max="11" width="9.7109375" bestFit="1" customWidth="1"/>
    <col min="12" max="12" width="5.85546875" bestFit="1" customWidth="1"/>
    <col min="13" max="13" width="6.140625" bestFit="1" customWidth="1"/>
    <col min="14" max="14" width="6" bestFit="1" customWidth="1"/>
    <col min="15" max="17" width="3.5703125" bestFit="1" customWidth="1"/>
    <col min="20" max="20" width="35.5703125" customWidth="1"/>
  </cols>
  <sheetData>
    <row r="1" spans="1:8" ht="120" customHeight="1" thickBot="1">
      <c r="A1" s="265" t="s">
        <v>746</v>
      </c>
      <c r="B1" s="266" t="s">
        <v>2202</v>
      </c>
      <c r="C1" s="266" t="s">
        <v>2203</v>
      </c>
      <c r="D1" s="266"/>
      <c r="E1" s="266" t="s">
        <v>2204</v>
      </c>
      <c r="F1" s="266" t="s">
        <v>2205</v>
      </c>
      <c r="G1" s="266" t="s">
        <v>2206</v>
      </c>
      <c r="H1" s="266" t="s">
        <v>2207</v>
      </c>
    </row>
    <row r="2" spans="1:8" ht="15.75" thickBot="1">
      <c r="A2" s="181"/>
      <c r="B2" s="159"/>
      <c r="C2" s="159"/>
      <c r="D2" s="171" t="s">
        <v>1012</v>
      </c>
      <c r="E2" s="172" t="s">
        <v>1013</v>
      </c>
      <c r="F2" s="172" t="s">
        <v>1014</v>
      </c>
      <c r="G2" s="172" t="s">
        <v>1015</v>
      </c>
      <c r="H2" s="172" t="s">
        <v>1016</v>
      </c>
    </row>
    <row r="3" spans="1:8" ht="15.75" thickBot="1">
      <c r="A3" s="144" t="s">
        <v>1017</v>
      </c>
      <c r="B3" s="160" t="s">
        <v>740</v>
      </c>
      <c r="C3" s="161"/>
      <c r="D3" s="154">
        <v>7100</v>
      </c>
      <c r="E3" s="934">
        <f>SUM(F3:H3)</f>
        <v>2060</v>
      </c>
      <c r="F3" s="825">
        <v>1030</v>
      </c>
      <c r="G3" s="825">
        <v>618</v>
      </c>
      <c r="H3" s="825">
        <v>412</v>
      </c>
    </row>
    <row r="4" spans="1:8" ht="30.75" thickBot="1">
      <c r="A4" s="146" t="s">
        <v>1394</v>
      </c>
      <c r="B4" s="162" t="s">
        <v>1395</v>
      </c>
      <c r="C4" s="163" t="s">
        <v>1396</v>
      </c>
      <c r="D4" s="173">
        <v>7110</v>
      </c>
      <c r="E4" s="934">
        <f t="shared" ref="E4:E21" si="0">SUM(F4:H4)</f>
        <v>1000</v>
      </c>
      <c r="F4" s="821">
        <v>500</v>
      </c>
      <c r="G4" s="821">
        <v>300</v>
      </c>
      <c r="H4" s="821">
        <v>200</v>
      </c>
    </row>
    <row r="5" spans="1:8" ht="30.75" thickBot="1">
      <c r="A5" s="147" t="s">
        <v>1397</v>
      </c>
      <c r="B5" s="164" t="s">
        <v>1398</v>
      </c>
      <c r="C5" s="165">
        <v>21</v>
      </c>
      <c r="D5" s="173">
        <v>7120</v>
      </c>
      <c r="E5" s="934">
        <f t="shared" si="0"/>
        <v>1000</v>
      </c>
      <c r="F5" s="822">
        <v>500</v>
      </c>
      <c r="G5" s="822">
        <v>300</v>
      </c>
      <c r="H5" s="822">
        <v>200</v>
      </c>
    </row>
    <row r="6" spans="1:8" ht="15.75" thickBot="1">
      <c r="A6" s="147" t="s">
        <v>1399</v>
      </c>
      <c r="B6" s="164" t="s">
        <v>1400</v>
      </c>
      <c r="C6" s="174">
        <v>22</v>
      </c>
      <c r="D6" s="173">
        <v>7130</v>
      </c>
      <c r="E6" s="934">
        <f t="shared" si="0"/>
        <v>1000</v>
      </c>
      <c r="F6" s="935">
        <f>SUM(F7:F11)</f>
        <v>500</v>
      </c>
      <c r="G6" s="935">
        <f>SUM(G7:G11)</f>
        <v>300</v>
      </c>
      <c r="H6" s="935">
        <f>SUM(H7:H11)</f>
        <v>200</v>
      </c>
    </row>
    <row r="7" spans="1:8" ht="15.75" thickBot="1">
      <c r="A7" s="149" t="s">
        <v>747</v>
      </c>
      <c r="B7" s="175" t="s">
        <v>740</v>
      </c>
      <c r="C7" s="163">
        <v>22</v>
      </c>
      <c r="D7" s="173">
        <v>7150</v>
      </c>
      <c r="E7" s="934">
        <f t="shared" si="0"/>
        <v>250</v>
      </c>
      <c r="F7" s="821">
        <v>125</v>
      </c>
      <c r="G7" s="821">
        <v>75</v>
      </c>
      <c r="H7" s="821">
        <v>50</v>
      </c>
    </row>
    <row r="8" spans="1:8" ht="15" customHeight="1" thickBot="1">
      <c r="A8" s="149" t="s">
        <v>748</v>
      </c>
      <c r="B8" s="175" t="s">
        <v>2323</v>
      </c>
      <c r="C8" s="163">
        <v>22</v>
      </c>
      <c r="D8" s="173">
        <v>7160</v>
      </c>
      <c r="E8" s="934">
        <f t="shared" si="0"/>
        <v>250</v>
      </c>
      <c r="F8" s="821">
        <v>125</v>
      </c>
      <c r="G8" s="821">
        <v>75</v>
      </c>
      <c r="H8" s="821">
        <v>50</v>
      </c>
    </row>
    <row r="9" spans="1:8" ht="15" customHeight="1" thickBot="1">
      <c r="A9" s="149" t="s">
        <v>2324</v>
      </c>
      <c r="B9" s="162" t="s">
        <v>740</v>
      </c>
      <c r="C9" s="163">
        <v>22</v>
      </c>
      <c r="D9" s="173">
        <v>7170</v>
      </c>
      <c r="E9" s="934">
        <f t="shared" si="0"/>
        <v>200</v>
      </c>
      <c r="F9" s="821">
        <v>100</v>
      </c>
      <c r="G9" s="821">
        <v>60</v>
      </c>
      <c r="H9" s="821">
        <v>40</v>
      </c>
    </row>
    <row r="10" spans="1:8" ht="15.75" thickBot="1">
      <c r="A10" s="149" t="s">
        <v>2325</v>
      </c>
      <c r="B10" s="162" t="s">
        <v>740</v>
      </c>
      <c r="C10" s="163">
        <v>23</v>
      </c>
      <c r="D10" s="173">
        <v>7180</v>
      </c>
      <c r="E10" s="934">
        <f t="shared" si="0"/>
        <v>200</v>
      </c>
      <c r="F10" s="821">
        <v>100</v>
      </c>
      <c r="G10" s="821">
        <v>60</v>
      </c>
      <c r="H10" s="821">
        <v>40</v>
      </c>
    </row>
    <row r="11" spans="1:8" ht="15.75" thickBot="1">
      <c r="A11" s="184" t="s">
        <v>1668</v>
      </c>
      <c r="B11" s="176" t="s">
        <v>740</v>
      </c>
      <c r="C11" s="177"/>
      <c r="D11" s="173">
        <v>7190</v>
      </c>
      <c r="E11" s="934">
        <f t="shared" si="0"/>
        <v>100</v>
      </c>
      <c r="F11" s="936">
        <v>50</v>
      </c>
      <c r="G11" s="936">
        <v>30</v>
      </c>
      <c r="H11" s="936">
        <v>20</v>
      </c>
    </row>
    <row r="12" spans="1:8" ht="30.75" thickBot="1">
      <c r="A12" s="144" t="s">
        <v>2326</v>
      </c>
      <c r="B12" s="160" t="s">
        <v>2327</v>
      </c>
      <c r="C12" s="161">
        <v>24</v>
      </c>
      <c r="D12" s="173">
        <v>7200</v>
      </c>
      <c r="E12" s="934">
        <f t="shared" si="0"/>
        <v>1000</v>
      </c>
      <c r="F12" s="825">
        <v>500</v>
      </c>
      <c r="G12" s="825">
        <v>300</v>
      </c>
      <c r="H12" s="825">
        <v>200</v>
      </c>
    </row>
    <row r="13" spans="1:8" ht="15.75" thickBot="1">
      <c r="A13" s="146" t="s">
        <v>468</v>
      </c>
      <c r="B13" s="162" t="s">
        <v>469</v>
      </c>
      <c r="C13" s="163">
        <v>11</v>
      </c>
      <c r="D13" s="173">
        <v>7210</v>
      </c>
      <c r="E13" s="934">
        <f t="shared" si="0"/>
        <v>1000</v>
      </c>
      <c r="F13" s="821">
        <v>500</v>
      </c>
      <c r="G13" s="821">
        <v>300</v>
      </c>
      <c r="H13" s="821">
        <v>200</v>
      </c>
    </row>
    <row r="14" spans="1:8" ht="30.75" thickBot="1">
      <c r="A14" s="148" t="s">
        <v>2328</v>
      </c>
      <c r="B14" s="166" t="s">
        <v>2329</v>
      </c>
      <c r="C14" s="167"/>
      <c r="D14" s="173">
        <v>7220</v>
      </c>
      <c r="E14" s="934">
        <f t="shared" si="0"/>
        <v>1000</v>
      </c>
      <c r="F14" s="823">
        <v>500</v>
      </c>
      <c r="G14" s="823">
        <v>300</v>
      </c>
      <c r="H14" s="823">
        <v>200</v>
      </c>
    </row>
    <row r="15" spans="1:8" ht="15.75" thickBot="1">
      <c r="A15" s="146" t="s">
        <v>2330</v>
      </c>
      <c r="B15" s="162" t="s">
        <v>2331</v>
      </c>
      <c r="C15" s="163">
        <v>25</v>
      </c>
      <c r="D15" s="173">
        <v>7240</v>
      </c>
      <c r="E15" s="934">
        <f t="shared" si="0"/>
        <v>1000</v>
      </c>
      <c r="F15" s="821">
        <v>500</v>
      </c>
      <c r="G15" s="821">
        <v>300</v>
      </c>
      <c r="H15" s="821">
        <v>200</v>
      </c>
    </row>
    <row r="16" spans="1:8" ht="15.75" thickBot="1">
      <c r="A16" s="147" t="s">
        <v>2332</v>
      </c>
      <c r="B16" s="164" t="s">
        <v>485</v>
      </c>
      <c r="C16" s="165"/>
      <c r="D16" s="173">
        <v>7250</v>
      </c>
      <c r="E16" s="934">
        <f t="shared" si="0"/>
        <v>500</v>
      </c>
      <c r="F16" s="937">
        <f>SUM(F17:F18)</f>
        <v>250</v>
      </c>
      <c r="G16" s="937">
        <f>SUM(G17:G18)</f>
        <v>150</v>
      </c>
      <c r="H16" s="937">
        <f>SUM(H17:H18)</f>
        <v>100</v>
      </c>
    </row>
    <row r="17" spans="1:20" ht="15.75" thickBot="1">
      <c r="A17" s="149" t="s">
        <v>250</v>
      </c>
      <c r="B17" s="162" t="s">
        <v>2501</v>
      </c>
      <c r="C17" s="163"/>
      <c r="D17" s="173">
        <v>7253</v>
      </c>
      <c r="E17" s="934">
        <f t="shared" si="0"/>
        <v>250</v>
      </c>
      <c r="F17" s="821">
        <v>125</v>
      </c>
      <c r="G17" s="821">
        <v>75</v>
      </c>
      <c r="H17" s="821">
        <v>50</v>
      </c>
    </row>
    <row r="18" spans="1:20" ht="15.75" thickBot="1">
      <c r="A18" s="150" t="s">
        <v>1910</v>
      </c>
      <c r="B18" s="160" t="s">
        <v>2503</v>
      </c>
      <c r="C18" s="161"/>
      <c r="D18" s="173">
        <v>7257</v>
      </c>
      <c r="E18" s="934">
        <f t="shared" si="0"/>
        <v>250</v>
      </c>
      <c r="F18" s="825">
        <v>125</v>
      </c>
      <c r="G18" s="825">
        <v>75</v>
      </c>
      <c r="H18" s="825">
        <v>50</v>
      </c>
    </row>
    <row r="19" spans="1:20" ht="15.75" thickBot="1">
      <c r="A19" s="144" t="s">
        <v>2333</v>
      </c>
      <c r="B19" s="160" t="s">
        <v>1008</v>
      </c>
      <c r="C19" s="161">
        <v>26</v>
      </c>
      <c r="D19" s="173">
        <v>7260</v>
      </c>
      <c r="E19" s="934">
        <f t="shared" si="0"/>
        <v>500</v>
      </c>
      <c r="F19" s="825">
        <v>250</v>
      </c>
      <c r="G19" s="825">
        <v>150</v>
      </c>
      <c r="H19" s="825">
        <v>100</v>
      </c>
    </row>
    <row r="20" spans="1:20" ht="30.75" thickBot="1">
      <c r="A20" s="182" t="s">
        <v>862</v>
      </c>
      <c r="B20" s="178" t="s">
        <v>863</v>
      </c>
      <c r="C20" s="179">
        <v>19</v>
      </c>
      <c r="D20" s="173">
        <v>7270</v>
      </c>
      <c r="E20" s="934">
        <f t="shared" si="0"/>
        <v>1100</v>
      </c>
      <c r="F20" s="938">
        <v>550</v>
      </c>
      <c r="G20" s="938">
        <v>330</v>
      </c>
      <c r="H20" s="938">
        <v>220</v>
      </c>
    </row>
    <row r="21" spans="1:20" ht="30.75" thickBot="1">
      <c r="A21" s="146" t="s">
        <v>2334</v>
      </c>
      <c r="B21" s="162" t="s">
        <v>2335</v>
      </c>
      <c r="C21" s="162"/>
      <c r="D21" s="173">
        <v>7280</v>
      </c>
      <c r="E21" s="934">
        <f t="shared" si="0"/>
        <v>900</v>
      </c>
      <c r="F21" s="939">
        <v>450</v>
      </c>
      <c r="G21" s="939">
        <v>270</v>
      </c>
      <c r="H21" s="939">
        <v>180</v>
      </c>
    </row>
    <row r="22" spans="1:20" s="22" customFormat="1" ht="15.75" thickBot="1">
      <c r="A22" s="183" t="s">
        <v>864</v>
      </c>
      <c r="B22" s="186"/>
      <c r="C22" s="186"/>
      <c r="D22" s="185">
        <v>7999</v>
      </c>
      <c r="E22" s="934">
        <f>SUM(F22:H22)</f>
        <v>12060</v>
      </c>
      <c r="F22" s="940">
        <f>SUM(F3:F6,F12,F13:F16,F19:F21)</f>
        <v>6030</v>
      </c>
      <c r="G22" s="940">
        <f>SUM(G3:G6,G12,G13:G16,G19:G21)</f>
        <v>3618</v>
      </c>
      <c r="H22" s="940">
        <f>SUM(H3:H6,H12,H13:H16,H19:H21)</f>
        <v>2412</v>
      </c>
    </row>
    <row r="24" spans="1:20" s="1134" customFormat="1" ht="13.5"/>
    <row r="25" spans="1:20" s="1134" customFormat="1" ht="14.25" customHeight="1">
      <c r="A25" s="1139"/>
      <c r="B25" s="1158"/>
      <c r="C25" s="33">
        <v>400</v>
      </c>
      <c r="D25" s="34" t="b">
        <f>E22=E3+E4+E5+E6+E12+E13+E14+E15+E16+E19+E20+E21</f>
        <v>1</v>
      </c>
      <c r="E25" s="35" t="s">
        <v>92</v>
      </c>
      <c r="F25" s="1159"/>
      <c r="G25" s="1159"/>
      <c r="H25" s="1159"/>
      <c r="I25" s="1159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</row>
    <row r="26" spans="1:20" s="1134" customFormat="1" ht="14.25" customHeight="1">
      <c r="A26" s="1139"/>
      <c r="B26" s="1158"/>
      <c r="C26" s="33">
        <v>410</v>
      </c>
      <c r="D26" s="34" t="b">
        <f>F22=F3+F4+F5+F6+F12+F13+F14+F15+F16+F19+F20+F21</f>
        <v>1</v>
      </c>
      <c r="E26" s="35" t="s">
        <v>93</v>
      </c>
      <c r="F26" s="1159"/>
      <c r="G26" s="1159"/>
      <c r="H26" s="1159"/>
      <c r="I26" s="1159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  <c r="T26" s="1160"/>
    </row>
    <row r="27" spans="1:20" s="1134" customFormat="1" ht="14.25" customHeight="1">
      <c r="A27" s="1139"/>
      <c r="B27" s="1158"/>
      <c r="C27" s="33">
        <v>420</v>
      </c>
      <c r="D27" s="34" t="b">
        <f>G22=G3+G4+G5+G6+G12+G13+G14+G15+G16+G19+G20+G21</f>
        <v>1</v>
      </c>
      <c r="E27" s="35" t="s">
        <v>94</v>
      </c>
      <c r="F27" s="1159"/>
      <c r="G27" s="1159"/>
      <c r="H27" s="1159"/>
      <c r="I27" s="1159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</row>
    <row r="28" spans="1:20" s="1134" customFormat="1" ht="14.25" customHeight="1">
      <c r="A28" s="1139"/>
      <c r="B28" s="1158"/>
      <c r="C28" s="33">
        <v>430</v>
      </c>
      <c r="D28" s="34" t="b">
        <f>H22=H3+H4+H5+H6+H12+H13+H14+H15+H16+H19+H20+H21</f>
        <v>1</v>
      </c>
      <c r="E28" s="35" t="s">
        <v>95</v>
      </c>
      <c r="F28" s="1159"/>
      <c r="G28" s="1159"/>
      <c r="H28" s="1159"/>
      <c r="I28" s="1159"/>
      <c r="J28" s="1160"/>
      <c r="K28" s="1160"/>
      <c r="L28" s="1160"/>
      <c r="M28" s="1160"/>
      <c r="N28" s="1160"/>
      <c r="O28" s="1160"/>
      <c r="P28" s="1160"/>
      <c r="Q28" s="1160"/>
      <c r="R28" s="1160"/>
      <c r="S28" s="1160"/>
      <c r="T28" s="1160"/>
    </row>
    <row r="29" spans="1:20" s="1134" customFormat="1" ht="14.25" customHeight="1">
      <c r="A29" s="1139"/>
      <c r="B29" s="1158"/>
      <c r="C29" s="33">
        <v>440</v>
      </c>
      <c r="D29" s="34" t="b">
        <f>E6=E7+E8+E9+E10+E11</f>
        <v>1</v>
      </c>
      <c r="E29" s="35" t="s">
        <v>96</v>
      </c>
      <c r="F29" s="1159"/>
      <c r="G29" s="1159"/>
      <c r="H29" s="1159"/>
      <c r="I29" s="1159"/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  <c r="T29" s="1160"/>
    </row>
    <row r="30" spans="1:20" s="1134" customFormat="1" ht="14.25" customHeight="1">
      <c r="A30" s="1139"/>
      <c r="B30" s="1158"/>
      <c r="C30" s="33">
        <v>450</v>
      </c>
      <c r="D30" s="34" t="b">
        <f>F6=F7+F8 + F9 + F10+F11</f>
        <v>1</v>
      </c>
      <c r="E30" s="35" t="s">
        <v>97</v>
      </c>
      <c r="F30" s="1159"/>
      <c r="G30" s="1159"/>
      <c r="H30" s="1159"/>
      <c r="I30" s="1159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</row>
    <row r="31" spans="1:20" s="1134" customFormat="1" ht="14.25" customHeight="1">
      <c r="A31" s="1139"/>
      <c r="B31" s="1158"/>
      <c r="C31" s="33">
        <v>460</v>
      </c>
      <c r="D31" s="34" t="b">
        <f>G6=G7+G8 + G9 + G10 + G11</f>
        <v>1</v>
      </c>
      <c r="E31" s="35" t="s">
        <v>98</v>
      </c>
      <c r="F31" s="1159"/>
      <c r="G31" s="1159"/>
      <c r="H31" s="1159"/>
      <c r="I31" s="1159"/>
      <c r="J31" s="1160"/>
      <c r="K31" s="1160"/>
      <c r="L31" s="1160"/>
      <c r="M31" s="1160"/>
      <c r="N31" s="1160"/>
      <c r="O31" s="1160"/>
      <c r="P31" s="1160"/>
      <c r="Q31" s="1160"/>
      <c r="R31" s="1160"/>
      <c r="S31" s="1160"/>
      <c r="T31" s="1160"/>
    </row>
    <row r="32" spans="1:20" s="1134" customFormat="1" ht="14.25" customHeight="1">
      <c r="A32" s="1139"/>
      <c r="B32" s="1158"/>
      <c r="C32" s="33">
        <v>470</v>
      </c>
      <c r="D32" s="34" t="b">
        <f>H6=H7+H8 + H9+H10+H11</f>
        <v>1</v>
      </c>
      <c r="E32" s="35" t="s">
        <v>99</v>
      </c>
      <c r="F32" s="1159"/>
      <c r="G32" s="1159"/>
      <c r="H32" s="1159"/>
      <c r="I32" s="1159"/>
      <c r="J32" s="1160"/>
      <c r="K32" s="1160"/>
      <c r="L32" s="1160"/>
      <c r="M32" s="1160"/>
      <c r="N32" s="1160"/>
      <c r="O32" s="1160"/>
      <c r="P32" s="1160"/>
      <c r="Q32" s="1160"/>
      <c r="R32" s="1160"/>
      <c r="S32" s="1160"/>
      <c r="T32" s="1160"/>
    </row>
    <row r="33" spans="1:20" s="1134" customFormat="1" ht="14.25" customHeight="1">
      <c r="A33" s="1139"/>
      <c r="B33" s="1158"/>
      <c r="C33" s="33">
        <v>480</v>
      </c>
      <c r="D33" s="34" t="b">
        <f>E16=E17+E18</f>
        <v>1</v>
      </c>
      <c r="E33" s="35" t="s">
        <v>100</v>
      </c>
      <c r="F33" s="1159"/>
      <c r="G33" s="1159"/>
      <c r="H33" s="1159"/>
      <c r="I33" s="1159"/>
      <c r="J33" s="1160"/>
      <c r="K33" s="1160"/>
      <c r="L33" s="1160"/>
      <c r="M33" s="1160"/>
      <c r="N33" s="1160"/>
      <c r="O33" s="1160"/>
      <c r="P33" s="1160"/>
      <c r="Q33" s="1160"/>
      <c r="R33" s="1160"/>
      <c r="S33" s="1160"/>
      <c r="T33" s="1160"/>
    </row>
    <row r="34" spans="1:20" s="1134" customFormat="1" ht="14.25" customHeight="1">
      <c r="A34" s="1139"/>
      <c r="B34" s="1158"/>
      <c r="C34" s="33">
        <v>490</v>
      </c>
      <c r="D34" s="34" t="b">
        <f>F16=F17+F18</f>
        <v>1</v>
      </c>
      <c r="E34" s="35" t="s">
        <v>101</v>
      </c>
      <c r="F34" s="1159"/>
      <c r="G34" s="1159"/>
      <c r="H34" s="1159"/>
      <c r="I34" s="1159"/>
      <c r="J34" s="1160"/>
      <c r="K34" s="1160"/>
      <c r="L34" s="1160"/>
      <c r="M34" s="1160"/>
      <c r="N34" s="1160"/>
      <c r="O34" s="1160"/>
      <c r="P34" s="1160"/>
      <c r="Q34" s="1160"/>
      <c r="R34" s="1160"/>
      <c r="S34" s="1160"/>
      <c r="T34" s="1160"/>
    </row>
    <row r="35" spans="1:20" s="1134" customFormat="1" ht="14.25" customHeight="1">
      <c r="A35" s="1139"/>
      <c r="B35" s="1158"/>
      <c r="C35" s="33">
        <v>500</v>
      </c>
      <c r="D35" s="34" t="b">
        <f>G16=G17+G18</f>
        <v>1</v>
      </c>
      <c r="E35" s="35" t="s">
        <v>102</v>
      </c>
      <c r="F35" s="1159"/>
      <c r="G35" s="1159"/>
      <c r="H35" s="1159"/>
      <c r="I35" s="1159"/>
      <c r="J35" s="1160"/>
      <c r="K35" s="1160"/>
      <c r="L35" s="1160"/>
      <c r="M35" s="1160"/>
      <c r="N35" s="1160"/>
      <c r="O35" s="1160"/>
      <c r="P35" s="1160"/>
      <c r="Q35" s="1160"/>
      <c r="R35" s="1160"/>
      <c r="S35" s="1160"/>
      <c r="T35" s="1160"/>
    </row>
    <row r="36" spans="1:20" s="1134" customFormat="1" ht="14.25" customHeight="1">
      <c r="A36" s="1139"/>
      <c r="B36" s="1158"/>
      <c r="C36" s="33">
        <v>510</v>
      </c>
      <c r="D36" s="34" t="b">
        <f>H16=H17+H18</f>
        <v>1</v>
      </c>
      <c r="E36" s="35" t="s">
        <v>103</v>
      </c>
      <c r="F36" s="1159"/>
      <c r="G36" s="1159"/>
      <c r="H36" s="1159"/>
      <c r="I36" s="1159"/>
      <c r="J36" s="1160"/>
      <c r="K36" s="1160"/>
      <c r="L36" s="1160"/>
      <c r="M36" s="1160"/>
      <c r="N36" s="1160"/>
      <c r="O36" s="1160"/>
      <c r="P36" s="1160"/>
      <c r="Q36" s="1160"/>
      <c r="R36" s="1160"/>
      <c r="S36" s="1160"/>
      <c r="T36" s="1160"/>
    </row>
    <row r="37" spans="1:20" s="1134" customFormat="1" ht="14.25" customHeight="1">
      <c r="A37" s="1139"/>
      <c r="B37" s="1158"/>
      <c r="C37" s="33">
        <v>520</v>
      </c>
      <c r="D37" s="34" t="b">
        <f>E3=F3+G3+H3</f>
        <v>1</v>
      </c>
      <c r="E37" s="35" t="s">
        <v>104</v>
      </c>
      <c r="F37" s="1159"/>
      <c r="G37" s="1159"/>
      <c r="H37" s="1159"/>
      <c r="I37" s="1159"/>
      <c r="J37" s="1160"/>
      <c r="K37" s="1160"/>
      <c r="L37" s="1160"/>
      <c r="M37" s="1160"/>
      <c r="N37" s="1160"/>
      <c r="O37" s="1160"/>
      <c r="P37" s="1160"/>
      <c r="Q37" s="1160"/>
      <c r="R37" s="1160"/>
      <c r="S37" s="1160"/>
      <c r="T37" s="1160"/>
    </row>
    <row r="38" spans="1:20" s="1134" customFormat="1" ht="14.25" customHeight="1">
      <c r="A38" s="1139"/>
      <c r="B38" s="1158"/>
      <c r="C38" s="33">
        <v>530</v>
      </c>
      <c r="D38" s="34" t="b">
        <f t="shared" ref="D38:D56" si="1">E4=F4+G4+H4</f>
        <v>1</v>
      </c>
      <c r="E38" s="35" t="s">
        <v>105</v>
      </c>
      <c r="F38" s="1159"/>
      <c r="G38" s="1159"/>
      <c r="H38" s="1159"/>
      <c r="I38" s="1159"/>
      <c r="J38" s="1160"/>
      <c r="K38" s="1160"/>
      <c r="L38" s="1160"/>
      <c r="M38" s="1160"/>
      <c r="N38" s="1160"/>
      <c r="O38" s="1160"/>
      <c r="P38" s="1160"/>
      <c r="Q38" s="1160"/>
      <c r="R38" s="1160"/>
      <c r="S38" s="1160"/>
      <c r="T38" s="1160"/>
    </row>
    <row r="39" spans="1:20" s="1134" customFormat="1" ht="14.25" customHeight="1">
      <c r="A39" s="1139"/>
      <c r="B39" s="1158"/>
      <c r="C39" s="33">
        <v>540</v>
      </c>
      <c r="D39" s="34" t="b">
        <f t="shared" si="1"/>
        <v>1</v>
      </c>
      <c r="E39" s="35" t="s">
        <v>1275</v>
      </c>
      <c r="F39" s="1159"/>
      <c r="G39" s="1159"/>
      <c r="H39" s="1159"/>
      <c r="I39" s="1159"/>
      <c r="J39" s="1160"/>
      <c r="K39" s="1160"/>
      <c r="L39" s="1160"/>
      <c r="M39" s="1160"/>
      <c r="N39" s="1160"/>
      <c r="O39" s="1160"/>
      <c r="P39" s="1160"/>
      <c r="Q39" s="1160"/>
      <c r="R39" s="1160"/>
      <c r="S39" s="1160"/>
      <c r="T39" s="1160"/>
    </row>
    <row r="40" spans="1:20" s="1134" customFormat="1" ht="14.25" customHeight="1">
      <c r="A40" s="1139"/>
      <c r="B40" s="1158"/>
      <c r="C40" s="33">
        <v>550</v>
      </c>
      <c r="D40" s="34" t="b">
        <f t="shared" si="1"/>
        <v>1</v>
      </c>
      <c r="E40" s="35" t="s">
        <v>1276</v>
      </c>
      <c r="F40" s="1159"/>
      <c r="G40" s="1159"/>
      <c r="H40" s="1159"/>
      <c r="I40" s="1159"/>
      <c r="J40" s="1160"/>
      <c r="K40" s="1160"/>
      <c r="L40" s="1160"/>
      <c r="M40" s="1160"/>
      <c r="N40" s="1160"/>
      <c r="O40" s="1160"/>
      <c r="P40" s="1160"/>
      <c r="Q40" s="1160"/>
      <c r="R40" s="1160"/>
      <c r="S40" s="1160"/>
      <c r="T40" s="1160"/>
    </row>
    <row r="41" spans="1:20" s="1134" customFormat="1" ht="14.25" customHeight="1">
      <c r="A41" s="1139"/>
      <c r="B41" s="1158"/>
      <c r="C41" s="33">
        <v>560</v>
      </c>
      <c r="D41" s="34" t="b">
        <f t="shared" si="1"/>
        <v>1</v>
      </c>
      <c r="E41" s="35" t="s">
        <v>1277</v>
      </c>
      <c r="F41" s="1159"/>
      <c r="G41" s="1159"/>
      <c r="H41" s="1159"/>
      <c r="I41" s="1159"/>
      <c r="J41" s="1160"/>
      <c r="K41" s="1160"/>
      <c r="L41" s="1160"/>
      <c r="M41" s="1160"/>
      <c r="N41" s="1160"/>
      <c r="O41" s="1160"/>
      <c r="P41" s="1160"/>
      <c r="Q41" s="1160"/>
      <c r="R41" s="1160"/>
      <c r="S41" s="1160"/>
      <c r="T41" s="1160"/>
    </row>
    <row r="42" spans="1:20" s="1134" customFormat="1" ht="14.25" customHeight="1">
      <c r="A42" s="1139"/>
      <c r="B42" s="1158"/>
      <c r="C42" s="33">
        <v>570</v>
      </c>
      <c r="D42" s="34" t="b">
        <f t="shared" si="1"/>
        <v>1</v>
      </c>
      <c r="E42" s="35" t="s">
        <v>1278</v>
      </c>
      <c r="F42" s="1159"/>
      <c r="G42" s="1159"/>
      <c r="H42" s="1159"/>
      <c r="I42" s="1159"/>
      <c r="J42" s="1160"/>
      <c r="K42" s="1160"/>
      <c r="L42" s="1160"/>
      <c r="M42" s="1160"/>
      <c r="N42" s="1160"/>
      <c r="O42" s="1160"/>
      <c r="P42" s="1160"/>
      <c r="Q42" s="1160"/>
      <c r="R42" s="1160"/>
      <c r="S42" s="1160"/>
      <c r="T42" s="1160"/>
    </row>
    <row r="43" spans="1:20" s="1134" customFormat="1" ht="14.25" customHeight="1">
      <c r="A43" s="1139"/>
      <c r="B43" s="1158"/>
      <c r="C43" s="33">
        <v>580</v>
      </c>
      <c r="D43" s="34" t="b">
        <f t="shared" si="1"/>
        <v>1</v>
      </c>
      <c r="E43" s="35" t="s">
        <v>7</v>
      </c>
      <c r="F43" s="1159"/>
      <c r="G43" s="1159"/>
      <c r="H43" s="1159"/>
      <c r="I43" s="1159"/>
      <c r="J43" s="1160"/>
      <c r="K43" s="1160"/>
      <c r="L43" s="1160"/>
      <c r="M43" s="1160"/>
      <c r="N43" s="1160"/>
      <c r="O43" s="1160"/>
      <c r="P43" s="1160"/>
      <c r="Q43" s="1160"/>
      <c r="R43" s="1160"/>
      <c r="S43" s="1160"/>
      <c r="T43" s="1160"/>
    </row>
    <row r="44" spans="1:20" s="1134" customFormat="1" ht="14.25" customHeight="1">
      <c r="A44" s="1139"/>
      <c r="B44" s="1158"/>
      <c r="C44" s="33">
        <v>590</v>
      </c>
      <c r="D44" s="34" t="b">
        <f t="shared" si="1"/>
        <v>1</v>
      </c>
      <c r="E44" s="35" t="s">
        <v>1279</v>
      </c>
      <c r="F44" s="1159"/>
      <c r="G44" s="1159"/>
      <c r="H44" s="1159"/>
      <c r="I44" s="1159"/>
      <c r="J44" s="1160"/>
      <c r="K44" s="1160"/>
      <c r="L44" s="1160"/>
      <c r="M44" s="1160"/>
      <c r="N44" s="1160"/>
      <c r="O44" s="1160"/>
      <c r="P44" s="1160"/>
      <c r="Q44" s="1160"/>
      <c r="R44" s="1160"/>
      <c r="S44" s="1160"/>
      <c r="T44" s="1160"/>
    </row>
    <row r="45" spans="1:20" s="1134" customFormat="1" ht="14.25" customHeight="1">
      <c r="A45" s="1139"/>
      <c r="B45" s="1158"/>
      <c r="C45" s="33">
        <v>600</v>
      </c>
      <c r="D45" s="34" t="b">
        <f t="shared" si="1"/>
        <v>1</v>
      </c>
      <c r="E45" s="35" t="s">
        <v>1280</v>
      </c>
      <c r="F45" s="1159"/>
      <c r="G45" s="1159"/>
      <c r="H45" s="1159"/>
      <c r="I45" s="1159"/>
      <c r="J45" s="1160"/>
      <c r="K45" s="1160"/>
      <c r="L45" s="1160"/>
      <c r="M45" s="1160"/>
      <c r="N45" s="1160"/>
      <c r="O45" s="1160"/>
      <c r="P45" s="1160"/>
      <c r="Q45" s="1160"/>
      <c r="R45" s="1160"/>
      <c r="S45" s="1160"/>
      <c r="T45" s="1160"/>
    </row>
    <row r="46" spans="1:20" s="1134" customFormat="1" ht="14.25" customHeight="1">
      <c r="A46" s="1139"/>
      <c r="B46" s="1158"/>
      <c r="C46" s="33">
        <v>610</v>
      </c>
      <c r="D46" s="34" t="b">
        <f t="shared" si="1"/>
        <v>1</v>
      </c>
      <c r="E46" s="35" t="s">
        <v>1281</v>
      </c>
      <c r="F46" s="1159"/>
      <c r="G46" s="1159"/>
      <c r="H46" s="1159"/>
      <c r="I46" s="1159"/>
      <c r="J46" s="1160"/>
      <c r="K46" s="1160"/>
      <c r="L46" s="1160"/>
      <c r="M46" s="1160"/>
      <c r="N46" s="1160"/>
      <c r="O46" s="1160"/>
      <c r="P46" s="1160"/>
      <c r="Q46" s="1160"/>
      <c r="R46" s="1160"/>
      <c r="S46" s="1160"/>
      <c r="T46" s="1160"/>
    </row>
    <row r="47" spans="1:20" s="1134" customFormat="1" ht="14.25" customHeight="1">
      <c r="A47" s="1139"/>
      <c r="B47" s="1158"/>
      <c r="C47" s="33">
        <v>620</v>
      </c>
      <c r="D47" s="34" t="b">
        <f t="shared" si="1"/>
        <v>1</v>
      </c>
      <c r="E47" s="35" t="s">
        <v>1282</v>
      </c>
      <c r="F47" s="1159"/>
      <c r="G47" s="1159"/>
      <c r="H47" s="1159"/>
      <c r="I47" s="1159"/>
      <c r="J47" s="1160"/>
      <c r="K47" s="1160"/>
      <c r="L47" s="1160"/>
      <c r="M47" s="1160"/>
      <c r="N47" s="1160"/>
      <c r="O47" s="1160"/>
      <c r="P47" s="1160"/>
      <c r="Q47" s="1160"/>
      <c r="R47" s="1160"/>
      <c r="S47" s="1160"/>
      <c r="T47" s="1160"/>
    </row>
    <row r="48" spans="1:20" s="1134" customFormat="1" ht="14.25" customHeight="1">
      <c r="A48" s="1139"/>
      <c r="B48" s="1158"/>
      <c r="C48" s="33">
        <v>630</v>
      </c>
      <c r="D48" s="34" t="b">
        <f t="shared" si="1"/>
        <v>1</v>
      </c>
      <c r="E48" s="35" t="s">
        <v>1283</v>
      </c>
      <c r="F48" s="1159"/>
      <c r="G48" s="1159"/>
      <c r="H48" s="1159"/>
      <c r="I48" s="1159"/>
      <c r="J48" s="1160"/>
      <c r="K48" s="1160"/>
      <c r="L48" s="1160"/>
      <c r="M48" s="1160"/>
      <c r="N48" s="1160"/>
      <c r="O48" s="1160"/>
      <c r="P48" s="1160"/>
      <c r="Q48" s="1160"/>
      <c r="R48" s="1160"/>
      <c r="S48" s="1160"/>
      <c r="T48" s="1160"/>
    </row>
    <row r="49" spans="1:20" s="1134" customFormat="1" ht="14.25" customHeight="1">
      <c r="A49" s="1139"/>
      <c r="B49" s="1158"/>
      <c r="C49" s="33">
        <v>640</v>
      </c>
      <c r="D49" s="34" t="b">
        <f t="shared" si="1"/>
        <v>1</v>
      </c>
      <c r="E49" s="35" t="s">
        <v>1284</v>
      </c>
      <c r="F49" s="1159"/>
      <c r="G49" s="1159"/>
      <c r="H49" s="1159"/>
      <c r="I49" s="1159"/>
      <c r="J49" s="1160"/>
      <c r="K49" s="1160"/>
      <c r="L49" s="1160"/>
      <c r="M49" s="1160"/>
      <c r="N49" s="1160"/>
      <c r="O49" s="1160"/>
      <c r="P49" s="1160"/>
      <c r="Q49" s="1160"/>
      <c r="R49" s="1160"/>
      <c r="S49" s="1160"/>
      <c r="T49" s="1160"/>
    </row>
    <row r="50" spans="1:20" s="1134" customFormat="1" ht="14.25" customHeight="1">
      <c r="A50" s="1139"/>
      <c r="B50" s="1158"/>
      <c r="C50" s="33">
        <v>650</v>
      </c>
      <c r="D50" s="34" t="b">
        <f t="shared" si="1"/>
        <v>1</v>
      </c>
      <c r="E50" s="35" t="s">
        <v>1285</v>
      </c>
      <c r="F50" s="1159"/>
      <c r="G50" s="1159"/>
      <c r="H50" s="1159"/>
      <c r="I50" s="1159"/>
      <c r="J50" s="1160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</row>
    <row r="51" spans="1:20" s="1134" customFormat="1" ht="14.25" customHeight="1">
      <c r="A51" s="1139"/>
      <c r="B51" s="1158"/>
      <c r="C51" s="33">
        <v>660</v>
      </c>
      <c r="D51" s="34" t="b">
        <f t="shared" si="1"/>
        <v>1</v>
      </c>
      <c r="E51" s="35" t="s">
        <v>1286</v>
      </c>
      <c r="F51" s="1159"/>
      <c r="G51" s="1159"/>
      <c r="H51" s="1159"/>
      <c r="I51" s="1159"/>
      <c r="J51" s="1160"/>
      <c r="K51" s="1160"/>
      <c r="L51" s="1160"/>
      <c r="M51" s="1160"/>
      <c r="N51" s="1160"/>
      <c r="O51" s="1160"/>
      <c r="P51" s="1160"/>
      <c r="Q51" s="1160"/>
      <c r="R51" s="1160"/>
      <c r="S51" s="1160"/>
      <c r="T51" s="1160"/>
    </row>
    <row r="52" spans="1:20" s="1134" customFormat="1" ht="14.25" customHeight="1">
      <c r="A52" s="1139"/>
      <c r="B52" s="1158"/>
      <c r="C52" s="33">
        <v>670</v>
      </c>
      <c r="D52" s="34" t="b">
        <f t="shared" si="1"/>
        <v>1</v>
      </c>
      <c r="E52" s="35" t="s">
        <v>1287</v>
      </c>
      <c r="F52" s="1159"/>
      <c r="G52" s="1159"/>
      <c r="H52" s="1159"/>
      <c r="I52" s="1159"/>
      <c r="J52" s="1160"/>
      <c r="K52" s="1160"/>
      <c r="L52" s="1160"/>
      <c r="M52" s="1160"/>
      <c r="N52" s="1160"/>
      <c r="O52" s="1160"/>
      <c r="P52" s="1160"/>
      <c r="Q52" s="1160"/>
      <c r="R52" s="1160"/>
      <c r="S52" s="1160"/>
      <c r="T52" s="1160"/>
    </row>
    <row r="53" spans="1:20" s="1134" customFormat="1" ht="14.25" customHeight="1">
      <c r="A53" s="1139"/>
      <c r="B53" s="1158"/>
      <c r="C53" s="33">
        <v>680</v>
      </c>
      <c r="D53" s="34" t="b">
        <f t="shared" si="1"/>
        <v>1</v>
      </c>
      <c r="E53" s="35" t="s">
        <v>1288</v>
      </c>
      <c r="F53" s="1159"/>
      <c r="G53" s="1159"/>
      <c r="H53" s="1159"/>
      <c r="I53" s="1159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160"/>
    </row>
    <row r="54" spans="1:20" s="1134" customFormat="1" ht="14.25" customHeight="1">
      <c r="A54" s="1139"/>
      <c r="B54" s="1158"/>
      <c r="C54" s="33">
        <v>690</v>
      </c>
      <c r="D54" s="34" t="b">
        <f t="shared" si="1"/>
        <v>1</v>
      </c>
      <c r="E54" s="35" t="s">
        <v>1289</v>
      </c>
      <c r="F54" s="1159"/>
      <c r="G54" s="1159"/>
      <c r="H54" s="1159"/>
      <c r="I54" s="1159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</row>
    <row r="55" spans="1:20" s="1134" customFormat="1" ht="14.25" customHeight="1">
      <c r="A55" s="1139"/>
      <c r="B55" s="1158"/>
      <c r="C55" s="33">
        <v>700</v>
      </c>
      <c r="D55" s="34" t="b">
        <f t="shared" si="1"/>
        <v>1</v>
      </c>
      <c r="E55" s="35" t="s">
        <v>1290</v>
      </c>
      <c r="F55" s="1159"/>
      <c r="G55" s="1159"/>
      <c r="H55" s="1159"/>
      <c r="I55" s="1159"/>
      <c r="J55" s="1160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</row>
    <row r="56" spans="1:20" s="1134" customFormat="1" ht="14.25" customHeight="1">
      <c r="A56" s="1139"/>
      <c r="B56" s="1158"/>
      <c r="C56" s="33">
        <v>710</v>
      </c>
      <c r="D56" s="34" t="b">
        <f t="shared" si="1"/>
        <v>1</v>
      </c>
      <c r="E56" s="35" t="s">
        <v>1291</v>
      </c>
      <c r="F56" s="1159"/>
      <c r="G56" s="1159"/>
      <c r="H56" s="1159"/>
      <c r="I56" s="1159"/>
      <c r="J56" s="1160"/>
      <c r="K56" s="1160"/>
      <c r="L56" s="1160"/>
      <c r="M56" s="1160"/>
      <c r="N56" s="1160"/>
      <c r="O56" s="1160"/>
      <c r="P56" s="1160"/>
      <c r="Q56" s="1160"/>
      <c r="R56" s="1160"/>
      <c r="S56" s="1160"/>
      <c r="T56" s="1160"/>
    </row>
    <row r="57" spans="1:20" s="1134" customFormat="1" ht="13.5">
      <c r="A57" s="1139"/>
      <c r="B57" s="1158"/>
      <c r="C57" s="33">
        <v>720</v>
      </c>
      <c r="D57" s="34" t="b">
        <f>E13='11.a'!F28+'11.a'!F53+'11.b'!E4+'11.b'!E5+'11.a'!F54</f>
        <v>1</v>
      </c>
      <c r="E57" s="36" t="s">
        <v>1292</v>
      </c>
      <c r="F57" s="1160"/>
      <c r="G57" s="1160"/>
      <c r="H57" s="1160"/>
      <c r="I57" s="1160"/>
      <c r="J57" s="1160"/>
      <c r="K57" s="1160"/>
      <c r="L57" s="1160"/>
      <c r="M57" s="1160"/>
      <c r="N57" s="1160"/>
      <c r="O57" s="1160"/>
      <c r="P57" s="1160"/>
      <c r="Q57" s="1160"/>
      <c r="R57" s="1160"/>
      <c r="S57" s="1160"/>
      <c r="T57" s="1160"/>
    </row>
  </sheetData>
  <customSheetViews>
    <customSheetView guid="{5D819D0C-25F7-408A-B978-F4F86F7655CA}" showPageBreaks="1" showRuler="0" topLeftCell="A7">
      <selection activeCell="K21" sqref="K2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 topLeftCell="A28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2" right="0.15" top="0.98425196850393704" bottom="0.98425196850393704" header="0.51181102362204722" footer="0.51181102362204722"/>
  <pageSetup paperSize="8" scale="110" orientation="portrait" r:id="rId4"/>
  <headerFooter alignWithMargins="0">
    <oddHeader xml:space="preserve">&amp;C1.2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="75" zoomScaleNormal="75" zoomScaleSheetLayoutView="100" workbookViewId="0"/>
  </sheetViews>
  <sheetFormatPr defaultRowHeight="12.75"/>
  <cols>
    <col min="1" max="1" width="27.140625" customWidth="1"/>
    <col min="2" max="2" width="13.140625" customWidth="1"/>
    <col min="4" max="4" width="8.5703125" customWidth="1"/>
    <col min="6" max="6" width="8.7109375" customWidth="1"/>
    <col min="11" max="11" width="31.5703125" customWidth="1"/>
  </cols>
  <sheetData>
    <row r="1" spans="1:6" s="5" customFormat="1" ht="16.5" thickBot="1">
      <c r="A1" s="242" t="s">
        <v>1133</v>
      </c>
      <c r="B1" s="279"/>
      <c r="C1" s="279"/>
      <c r="D1" s="279"/>
      <c r="E1" s="279"/>
      <c r="F1" s="279"/>
    </row>
    <row r="2" spans="1:6" ht="150.75" customHeight="1" thickBot="1">
      <c r="A2" s="311"/>
      <c r="B2" s="378" t="s">
        <v>1129</v>
      </c>
      <c r="C2" s="378"/>
      <c r="D2" s="378" t="s">
        <v>1921</v>
      </c>
      <c r="E2" s="270" t="s">
        <v>1906</v>
      </c>
      <c r="F2" s="378" t="s">
        <v>1121</v>
      </c>
    </row>
    <row r="3" spans="1:6" s="2" customFormat="1" ht="15.75" thickBot="1">
      <c r="A3" s="454"/>
      <c r="B3" s="455"/>
      <c r="C3" s="306" t="s">
        <v>1135</v>
      </c>
      <c r="D3" s="319" t="s">
        <v>1013</v>
      </c>
      <c r="E3" s="387" t="s">
        <v>1014</v>
      </c>
      <c r="F3" s="456" t="s">
        <v>1015</v>
      </c>
    </row>
    <row r="4" spans="1:6" ht="15.75" thickBot="1">
      <c r="A4" s="457" t="s">
        <v>1122</v>
      </c>
      <c r="B4" s="458" t="s">
        <v>1130</v>
      </c>
      <c r="C4" s="332">
        <v>7400</v>
      </c>
      <c r="D4" s="830">
        <v>95</v>
      </c>
      <c r="E4" s="830">
        <v>95</v>
      </c>
      <c r="F4" s="846">
        <v>300</v>
      </c>
    </row>
    <row r="5" spans="1:6" ht="15.75" thickBot="1">
      <c r="A5" s="229" t="s">
        <v>1125</v>
      </c>
      <c r="B5" s="394" t="s">
        <v>1131</v>
      </c>
      <c r="C5" s="336">
        <v>7410</v>
      </c>
      <c r="D5" s="830">
        <v>75</v>
      </c>
      <c r="E5" s="830">
        <v>75</v>
      </c>
      <c r="F5" s="830">
        <v>200</v>
      </c>
    </row>
    <row r="8" spans="1:6" s="1134" customFormat="1" ht="13.5"/>
    <row r="9" spans="1:6" s="1134" customFormat="1" ht="13.5">
      <c r="B9" s="1150"/>
      <c r="C9" s="1134">
        <v>550</v>
      </c>
      <c r="D9" s="28" t="b">
        <f>OR(IF(D4,TRUE,FALSE), IF(E4,TRUE,FALSE))=IF(F4,TRUE,FALSE)</f>
        <v>1</v>
      </c>
      <c r="E9" s="38" t="s">
        <v>2013</v>
      </c>
    </row>
    <row r="10" spans="1:6" s="1134" customFormat="1" ht="13.5">
      <c r="B10" s="1150"/>
      <c r="C10" s="1134">
        <v>560</v>
      </c>
      <c r="D10" s="28" t="b">
        <f>OR(IF(D5,TRUE,FALSE), IF(E5,TRUE,FALSE))=IF(F5,TRUE,FALSE)</f>
        <v>1</v>
      </c>
      <c r="E10" s="38" t="s">
        <v>2014</v>
      </c>
    </row>
    <row r="11" spans="1:6" s="1134" customFormat="1" ht="13.5"/>
    <row r="12" spans="1:6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46" right="0.49" top="1" bottom="1" header="0.5" footer="0.5"/>
  <pageSetup paperSize="8" scale="235" orientation="landscape" r:id="rId4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75" workbookViewId="0"/>
  </sheetViews>
  <sheetFormatPr defaultRowHeight="12.75"/>
  <sheetData>
    <row r="1" spans="1:1" s="5" customFormat="1" ht="15.75">
      <c r="A1" s="321" t="s">
        <v>2592</v>
      </c>
    </row>
    <row r="3" spans="1:1" ht="14.25" customHeight="1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scale="85"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Normal="100" workbookViewId="0"/>
  </sheetViews>
  <sheetFormatPr defaultRowHeight="12.75"/>
  <cols>
    <col min="1" max="1" width="37.5703125" customWidth="1"/>
    <col min="2" max="2" width="11.7109375" customWidth="1"/>
    <col min="3" max="3" width="8.42578125" customWidth="1"/>
    <col min="4" max="4" width="9.5703125" customWidth="1"/>
    <col min="7" max="7" width="9.42578125" customWidth="1"/>
    <col min="20" max="20" width="18.7109375" customWidth="1"/>
  </cols>
  <sheetData>
    <row r="1" spans="1:8" s="5" customFormat="1" ht="16.5" thickBot="1">
      <c r="A1" s="242" t="s">
        <v>1223</v>
      </c>
      <c r="B1" s="279"/>
      <c r="C1" s="279"/>
      <c r="D1" s="279"/>
      <c r="E1" s="279"/>
      <c r="F1" s="279"/>
      <c r="G1" s="279"/>
      <c r="H1" s="279"/>
    </row>
    <row r="2" spans="1:8" ht="165" customHeight="1" thickBot="1">
      <c r="A2" s="374" t="s">
        <v>1224</v>
      </c>
      <c r="B2" s="378" t="s">
        <v>137</v>
      </c>
      <c r="C2" s="378"/>
      <c r="D2" s="378" t="s">
        <v>1139</v>
      </c>
      <c r="E2" s="378" t="s">
        <v>1140</v>
      </c>
      <c r="F2" s="378" t="s">
        <v>1141</v>
      </c>
      <c r="G2" s="378" t="s">
        <v>1142</v>
      </c>
      <c r="H2" s="378" t="s">
        <v>2517</v>
      </c>
    </row>
    <row r="3" spans="1:8" ht="33" customHeight="1" thickBot="1">
      <c r="A3" s="512" t="s">
        <v>137</v>
      </c>
      <c r="B3" s="364"/>
      <c r="C3" s="364"/>
      <c r="D3" s="511" t="s">
        <v>1143</v>
      </c>
      <c r="E3" s="511" t="s">
        <v>740</v>
      </c>
      <c r="F3" s="511" t="s">
        <v>1144</v>
      </c>
      <c r="G3" s="511" t="s">
        <v>1145</v>
      </c>
      <c r="H3" s="359"/>
    </row>
    <row r="4" spans="1:8" ht="15.75" thickBot="1">
      <c r="A4" s="420"/>
      <c r="B4" s="256"/>
      <c r="C4" s="452" t="s">
        <v>1134</v>
      </c>
      <c r="D4" s="387" t="s">
        <v>1013</v>
      </c>
      <c r="E4" s="387" t="s">
        <v>1014</v>
      </c>
      <c r="F4" s="387" t="s">
        <v>1015</v>
      </c>
      <c r="G4" s="387" t="s">
        <v>1016</v>
      </c>
      <c r="H4" s="387" t="s">
        <v>525</v>
      </c>
    </row>
    <row r="5" spans="1:8" ht="15.75" thickBot="1">
      <c r="A5" s="313" t="s">
        <v>1146</v>
      </c>
      <c r="B5" s="461" t="s">
        <v>1147</v>
      </c>
      <c r="C5" s="332">
        <v>7100</v>
      </c>
      <c r="D5" s="883">
        <v>300</v>
      </c>
      <c r="E5" s="883"/>
      <c r="F5" s="883"/>
      <c r="G5" s="883">
        <v>0</v>
      </c>
      <c r="H5" s="884">
        <f>SUM(D5:G5)</f>
        <v>300</v>
      </c>
    </row>
    <row r="6" spans="1:8" ht="15.75" thickBot="1">
      <c r="A6" s="441" t="s">
        <v>1148</v>
      </c>
      <c r="B6" s="299" t="s">
        <v>1149</v>
      </c>
      <c r="C6" s="250">
        <v>7110</v>
      </c>
      <c r="D6" s="885">
        <v>50</v>
      </c>
      <c r="E6" s="885"/>
      <c r="F6" s="885"/>
      <c r="G6" s="885">
        <v>31</v>
      </c>
      <c r="H6" s="884">
        <f t="shared" ref="H6:H21" si="0">SUM(D6:G6)</f>
        <v>81</v>
      </c>
    </row>
    <row r="7" spans="1:8" ht="30.75" thickBot="1">
      <c r="A7" s="441" t="s">
        <v>1150</v>
      </c>
      <c r="B7" s="299" t="s">
        <v>1151</v>
      </c>
      <c r="C7" s="250">
        <v>7120</v>
      </c>
      <c r="D7" s="885">
        <v>50</v>
      </c>
      <c r="E7" s="885"/>
      <c r="F7" s="885"/>
      <c r="G7" s="885">
        <v>23</v>
      </c>
      <c r="H7" s="884">
        <f t="shared" si="0"/>
        <v>73</v>
      </c>
    </row>
    <row r="8" spans="1:8" ht="15.75" thickBot="1">
      <c r="A8" s="441" t="s">
        <v>1152</v>
      </c>
      <c r="B8" s="299" t="s">
        <v>1153</v>
      </c>
      <c r="C8" s="250">
        <v>7130</v>
      </c>
      <c r="D8" s="885">
        <v>20</v>
      </c>
      <c r="E8" s="885"/>
      <c r="F8" s="885"/>
      <c r="G8" s="885">
        <v>11</v>
      </c>
      <c r="H8" s="884">
        <f t="shared" si="0"/>
        <v>31</v>
      </c>
    </row>
    <row r="9" spans="1:8" ht="15.75" thickBot="1">
      <c r="A9" s="441" t="s">
        <v>1154</v>
      </c>
      <c r="B9" s="299" t="s">
        <v>1153</v>
      </c>
      <c r="C9" s="250">
        <v>7140</v>
      </c>
      <c r="D9" s="885">
        <v>50</v>
      </c>
      <c r="E9" s="885"/>
      <c r="F9" s="885"/>
      <c r="G9" s="885">
        <v>29</v>
      </c>
      <c r="H9" s="884">
        <f t="shared" si="0"/>
        <v>79</v>
      </c>
    </row>
    <row r="10" spans="1:8" ht="30.75" thickBot="1">
      <c r="A10" s="441" t="s">
        <v>1155</v>
      </c>
      <c r="B10" s="299" t="s">
        <v>2366</v>
      </c>
      <c r="C10" s="250">
        <v>7150</v>
      </c>
      <c r="D10" s="885">
        <v>50</v>
      </c>
      <c r="E10" s="885"/>
      <c r="F10" s="885"/>
      <c r="G10" s="885">
        <v>2</v>
      </c>
      <c r="H10" s="884">
        <f t="shared" si="0"/>
        <v>52</v>
      </c>
    </row>
    <row r="11" spans="1:8" ht="45.75" thickBot="1">
      <c r="A11" s="441" t="s">
        <v>1061</v>
      </c>
      <c r="B11" s="299" t="s">
        <v>2366</v>
      </c>
      <c r="C11" s="250">
        <v>7160</v>
      </c>
      <c r="D11" s="885">
        <v>100</v>
      </c>
      <c r="E11" s="885"/>
      <c r="F11" s="885"/>
      <c r="G11" s="885">
        <v>-3</v>
      </c>
      <c r="H11" s="884">
        <f t="shared" si="0"/>
        <v>97</v>
      </c>
    </row>
    <row r="12" spans="1:8" ht="30.75" thickBot="1">
      <c r="A12" s="441" t="s">
        <v>591</v>
      </c>
      <c r="B12" s="299" t="s">
        <v>1202</v>
      </c>
      <c r="C12" s="250">
        <v>7170</v>
      </c>
      <c r="D12" s="885">
        <v>12</v>
      </c>
      <c r="E12" s="885"/>
      <c r="F12" s="885"/>
      <c r="G12" s="885">
        <v>4</v>
      </c>
      <c r="H12" s="884">
        <f t="shared" si="0"/>
        <v>16</v>
      </c>
    </row>
    <row r="13" spans="1:8" ht="30.75" thickBot="1">
      <c r="A13" s="441" t="s">
        <v>1203</v>
      </c>
      <c r="B13" s="299" t="s">
        <v>1204</v>
      </c>
      <c r="C13" s="250">
        <v>7180</v>
      </c>
      <c r="D13" s="885">
        <v>50</v>
      </c>
      <c r="E13" s="885"/>
      <c r="F13" s="885"/>
      <c r="G13" s="885">
        <v>19</v>
      </c>
      <c r="H13" s="884">
        <f t="shared" si="0"/>
        <v>69</v>
      </c>
    </row>
    <row r="14" spans="1:8" ht="30.75" thickBot="1">
      <c r="A14" s="441" t="s">
        <v>1206</v>
      </c>
      <c r="B14" s="299" t="s">
        <v>1207</v>
      </c>
      <c r="C14" s="250">
        <v>7190</v>
      </c>
      <c r="D14" s="885">
        <v>50</v>
      </c>
      <c r="E14" s="885"/>
      <c r="F14" s="885"/>
      <c r="G14" s="885">
        <v>7</v>
      </c>
      <c r="H14" s="884">
        <f t="shared" si="0"/>
        <v>57</v>
      </c>
    </row>
    <row r="15" spans="1:8" ht="30.75" thickBot="1">
      <c r="A15" s="441" t="s">
        <v>1208</v>
      </c>
      <c r="B15" s="299" t="s">
        <v>1209</v>
      </c>
      <c r="C15" s="250">
        <v>7200</v>
      </c>
      <c r="D15" s="885">
        <v>50</v>
      </c>
      <c r="E15" s="885"/>
      <c r="F15" s="885"/>
      <c r="G15" s="885">
        <v>20</v>
      </c>
      <c r="H15" s="884">
        <f t="shared" si="0"/>
        <v>70</v>
      </c>
    </row>
    <row r="16" spans="1:8" ht="15">
      <c r="A16" s="462" t="s">
        <v>1210</v>
      </c>
      <c r="B16" s="296"/>
      <c r="C16" s="250">
        <v>7210</v>
      </c>
      <c r="D16" s="886">
        <f>SUM(D17:D18)</f>
        <v>-35</v>
      </c>
      <c r="E16" s="887"/>
      <c r="F16" s="887"/>
      <c r="G16" s="886">
        <f>SUM(G17:G18)</f>
        <v>-10</v>
      </c>
      <c r="H16" s="886">
        <f t="shared" si="0"/>
        <v>-45</v>
      </c>
    </row>
    <row r="17" spans="1:12" ht="40.5" customHeight="1">
      <c r="A17" s="463" t="s">
        <v>1226</v>
      </c>
      <c r="B17" s="464" t="s">
        <v>1211</v>
      </c>
      <c r="C17" s="250">
        <v>7220</v>
      </c>
      <c r="D17" s="888">
        <v>-30</v>
      </c>
      <c r="E17" s="888"/>
      <c r="F17" s="888"/>
      <c r="G17" s="888">
        <v>-9</v>
      </c>
      <c r="H17" s="889">
        <f t="shared" si="0"/>
        <v>-39</v>
      </c>
    </row>
    <row r="18" spans="1:12" ht="15.75" thickBot="1">
      <c r="A18" s="465" t="s">
        <v>1212</v>
      </c>
      <c r="B18" s="466" t="s">
        <v>1213</v>
      </c>
      <c r="C18" s="250">
        <v>7230</v>
      </c>
      <c r="D18" s="890">
        <v>-5</v>
      </c>
      <c r="E18" s="891"/>
      <c r="F18" s="891"/>
      <c r="G18" s="890">
        <v>-1</v>
      </c>
      <c r="H18" s="892">
        <f t="shared" si="0"/>
        <v>-6</v>
      </c>
    </row>
    <row r="19" spans="1:12" ht="15.75" thickBot="1">
      <c r="A19" s="441" t="s">
        <v>1214</v>
      </c>
      <c r="B19" s="299" t="s">
        <v>1215</v>
      </c>
      <c r="C19" s="250">
        <v>7240</v>
      </c>
      <c r="D19" s="885">
        <v>8</v>
      </c>
      <c r="E19" s="885"/>
      <c r="F19" s="885"/>
      <c r="G19" s="885">
        <v>6</v>
      </c>
      <c r="H19" s="884">
        <f t="shared" si="0"/>
        <v>14</v>
      </c>
    </row>
    <row r="20" spans="1:12" ht="15.75" thickBot="1">
      <c r="A20" s="313" t="s">
        <v>1216</v>
      </c>
      <c r="B20" s="461" t="s">
        <v>1147</v>
      </c>
      <c r="C20" s="250">
        <v>7250</v>
      </c>
      <c r="D20" s="884">
        <f>D5+D6+D7-D8-D9+D10-D11-D12-D13+D14+D15-D16+D19</f>
        <v>361</v>
      </c>
      <c r="E20" s="884">
        <f>E5+E6+E7-E8-E9+E10-E11-E12-E13+E14+E15-E16+E19</f>
        <v>0</v>
      </c>
      <c r="F20" s="884">
        <f>F5+F6+F7-F8-F9+F10-F11-F12-F13+F14+F15-F16+F19</f>
        <v>0</v>
      </c>
      <c r="G20" s="884">
        <f>G5+G6+G7-G8-G9+G10-G11-G12-G13+G14+G15-G16+G19</f>
        <v>39</v>
      </c>
      <c r="H20" s="884">
        <f>SUM(D20:G20)</f>
        <v>400</v>
      </c>
    </row>
    <row r="21" spans="1:12" ht="15.75" thickBot="1">
      <c r="A21" s="313" t="s">
        <v>1217</v>
      </c>
      <c r="B21" s="461" t="s">
        <v>1218</v>
      </c>
      <c r="C21" s="336">
        <v>7260</v>
      </c>
      <c r="D21" s="885">
        <v>16</v>
      </c>
      <c r="E21" s="885"/>
      <c r="F21" s="885"/>
      <c r="G21" s="885">
        <v>8</v>
      </c>
      <c r="H21" s="884">
        <f t="shared" si="0"/>
        <v>24</v>
      </c>
    </row>
    <row r="22" spans="1:12" ht="15.75" thickBot="1">
      <c r="A22" s="467"/>
      <c r="B22" s="467"/>
      <c r="C22" s="467"/>
      <c r="D22" s="467"/>
      <c r="E22" s="467"/>
      <c r="F22" s="467"/>
      <c r="G22" s="467"/>
      <c r="H22" s="467"/>
    </row>
    <row r="23" spans="1:12" ht="15.75" thickBot="1">
      <c r="A23" s="469" t="s">
        <v>1219</v>
      </c>
      <c r="B23" s="427" t="s">
        <v>1220</v>
      </c>
      <c r="C23" s="359">
        <v>7270</v>
      </c>
      <c r="D23" s="893">
        <v>45</v>
      </c>
      <c r="E23" s="893"/>
      <c r="F23" s="893"/>
      <c r="G23" s="893">
        <v>12</v>
      </c>
      <c r="H23" s="884">
        <f>SUM(D23:G23)</f>
        <v>57</v>
      </c>
    </row>
    <row r="24" spans="1:12" ht="15.75" thickBot="1">
      <c r="A24" s="468" t="s">
        <v>1221</v>
      </c>
      <c r="B24" s="335" t="s">
        <v>1222</v>
      </c>
      <c r="C24" s="452">
        <v>7280</v>
      </c>
      <c r="D24" s="891"/>
      <c r="E24" s="893"/>
      <c r="F24" s="893"/>
      <c r="G24" s="893">
        <v>4</v>
      </c>
      <c r="H24" s="884">
        <f>SUM(D24:G24)</f>
        <v>4</v>
      </c>
    </row>
    <row r="27" spans="1:12" s="1134" customFormat="1" ht="13.5"/>
    <row r="28" spans="1:12" s="1134" customFormat="1" ht="13.5">
      <c r="A28" s="1139"/>
      <c r="B28" s="37"/>
      <c r="C28" s="37">
        <v>10</v>
      </c>
      <c r="D28" s="28" t="b">
        <f>D16=D17+D18</f>
        <v>1</v>
      </c>
      <c r="E28" s="38" t="s">
        <v>2015</v>
      </c>
      <c r="F28" s="1179"/>
      <c r="G28" s="1179"/>
      <c r="H28" s="1179"/>
      <c r="I28" s="1139"/>
      <c r="J28" s="1139"/>
      <c r="K28" s="1139"/>
      <c r="L28" s="1139"/>
    </row>
    <row r="29" spans="1:12" s="1134" customFormat="1" ht="13.5">
      <c r="A29" s="1139"/>
      <c r="B29" s="37"/>
      <c r="C29" s="37">
        <v>20</v>
      </c>
      <c r="D29" s="28" t="b">
        <f>E16=E17</f>
        <v>1</v>
      </c>
      <c r="E29" s="38" t="s">
        <v>2016</v>
      </c>
      <c r="F29" s="1179"/>
      <c r="G29" s="1179"/>
      <c r="H29" s="1179"/>
      <c r="I29" s="1139"/>
      <c r="J29" s="1139"/>
      <c r="K29" s="1139"/>
      <c r="L29" s="1139"/>
    </row>
    <row r="30" spans="1:12" s="1134" customFormat="1" ht="13.5">
      <c r="A30" s="1139"/>
      <c r="B30" s="37"/>
      <c r="C30" s="37">
        <v>30</v>
      </c>
      <c r="D30" s="28" t="b">
        <f>F16=F17</f>
        <v>1</v>
      </c>
      <c r="E30" s="38" t="s">
        <v>2017</v>
      </c>
      <c r="F30" s="1179"/>
      <c r="G30" s="1179"/>
      <c r="H30" s="1179"/>
      <c r="I30" s="1139"/>
      <c r="J30" s="1139"/>
      <c r="K30" s="1139"/>
      <c r="L30" s="1139"/>
    </row>
    <row r="31" spans="1:12" s="1134" customFormat="1" ht="13.5">
      <c r="A31" s="1139"/>
      <c r="B31" s="37"/>
      <c r="C31" s="37">
        <v>40</v>
      </c>
      <c r="D31" s="28" t="b">
        <f>G16=G17+G18</f>
        <v>1</v>
      </c>
      <c r="E31" s="38" t="s">
        <v>2018</v>
      </c>
      <c r="F31" s="1179"/>
      <c r="G31" s="1179"/>
      <c r="H31" s="1179"/>
      <c r="I31" s="1139"/>
      <c r="J31" s="1139"/>
      <c r="K31" s="1139"/>
      <c r="L31" s="1139"/>
    </row>
    <row r="32" spans="1:12" s="1134" customFormat="1" ht="13.5">
      <c r="A32" s="1139"/>
      <c r="B32" s="37"/>
      <c r="C32" s="37">
        <v>50</v>
      </c>
      <c r="D32" s="28" t="b">
        <f>H16=H17+H18</f>
        <v>1</v>
      </c>
      <c r="E32" s="38" t="s">
        <v>2019</v>
      </c>
      <c r="F32" s="1179"/>
      <c r="G32" s="1179"/>
      <c r="H32" s="1179"/>
      <c r="I32" s="1139"/>
      <c r="J32" s="1139"/>
      <c r="K32" s="1139"/>
      <c r="L32" s="1139"/>
    </row>
    <row r="33" spans="1:12" s="1134" customFormat="1" ht="13.5">
      <c r="A33" s="1178"/>
      <c r="B33" s="37"/>
      <c r="C33" s="37">
        <v>60</v>
      </c>
      <c r="D33" s="28" t="b">
        <f>D$20=D$5+D$6+D$7-D$8-D$9+D$10-D$11-D$12-D$13+D$14+D$15-D$16+D$19</f>
        <v>1</v>
      </c>
      <c r="E33" s="38" t="s">
        <v>602</v>
      </c>
      <c r="F33" s="1179"/>
      <c r="G33" s="1179"/>
      <c r="H33" s="1179"/>
    </row>
    <row r="34" spans="1:12" s="1134" customFormat="1" ht="13.5">
      <c r="A34" s="1139"/>
      <c r="B34" s="37"/>
      <c r="C34" s="37">
        <v>70</v>
      </c>
      <c r="D34" s="28" t="b">
        <f>E$20=E$5+E$6+E$7-E$8-E$9+E$10-E$11-E$12-E$13+E$14+E$15-E$16+E$19</f>
        <v>1</v>
      </c>
      <c r="E34" s="38" t="s">
        <v>603</v>
      </c>
      <c r="H34" s="1179"/>
    </row>
    <row r="35" spans="1:12" s="1134" customFormat="1" ht="13.5">
      <c r="A35" s="1139"/>
      <c r="B35" s="37"/>
      <c r="C35" s="37">
        <v>80</v>
      </c>
      <c r="D35" s="28" t="b">
        <f>F$20=F$5+F$6+F$7-F$8-F$9+F$10-F$11-F$12-F$13+F$14+F$15-F$16+F$19</f>
        <v>1</v>
      </c>
      <c r="E35" s="38" t="s">
        <v>604</v>
      </c>
      <c r="F35" s="1179"/>
      <c r="G35" s="1179"/>
      <c r="H35" s="1179"/>
    </row>
    <row r="36" spans="1:12" s="1134" customFormat="1" ht="13.5">
      <c r="A36" s="1139"/>
      <c r="B36" s="37"/>
      <c r="C36" s="37">
        <v>90</v>
      </c>
      <c r="D36" s="28" t="b">
        <f>G$20=G$5+G$6+G$7-G$8-G$9+G$10-G$11-G$12-G$13+G$14+G$15-G$16+G$19</f>
        <v>1</v>
      </c>
      <c r="E36" s="38" t="s">
        <v>605</v>
      </c>
      <c r="F36" s="1179"/>
      <c r="G36" s="1179"/>
      <c r="H36" s="1179"/>
    </row>
    <row r="37" spans="1:12" s="1134" customFormat="1" ht="13.5">
      <c r="A37" s="1139"/>
      <c r="B37" s="37"/>
      <c r="C37" s="37">
        <v>100</v>
      </c>
      <c r="D37" s="28" t="b">
        <f>H$20=H$5+H$6+H$7-H$8-H$9+H$10-H$11-H$12-H$13+H$14+H$15-H$16+H$19</f>
        <v>1</v>
      </c>
      <c r="E37" s="38" t="s">
        <v>606</v>
      </c>
      <c r="F37" s="1179"/>
      <c r="G37" s="1179"/>
      <c r="H37" s="1179"/>
    </row>
    <row r="38" spans="1:12" s="1134" customFormat="1" ht="13.5">
      <c r="A38" s="1178"/>
      <c r="B38" s="37"/>
      <c r="C38" s="37">
        <v>110</v>
      </c>
      <c r="D38" s="28" t="b">
        <f>IF(D21&gt;=D12,TRUE,FALSE)</f>
        <v>1</v>
      </c>
      <c r="E38" s="38" t="s">
        <v>607</v>
      </c>
      <c r="F38" s="1179"/>
      <c r="G38" s="1179"/>
      <c r="H38" s="1179"/>
    </row>
    <row r="39" spans="1:12" s="1134" customFormat="1" ht="13.5">
      <c r="A39" s="1139"/>
      <c r="B39" s="37"/>
      <c r="C39" s="37">
        <v>120</v>
      </c>
      <c r="D39" s="28" t="b">
        <f>IF(E21&gt;=E12,TRUE,FALSE)</f>
        <v>1</v>
      </c>
      <c r="E39" s="38" t="s">
        <v>608</v>
      </c>
      <c r="F39" s="1179"/>
      <c r="G39" s="1179"/>
      <c r="H39" s="1179"/>
    </row>
    <row r="40" spans="1:12" s="1134" customFormat="1" ht="13.5">
      <c r="A40" s="1139"/>
      <c r="B40" s="37"/>
      <c r="C40" s="37">
        <v>130</v>
      </c>
      <c r="D40" s="28" t="b">
        <f>IF(F21&gt;=F12,TRUE,FALSE)</f>
        <v>1</v>
      </c>
      <c r="E40" s="38" t="s">
        <v>609</v>
      </c>
      <c r="F40" s="1179"/>
      <c r="G40" s="1179"/>
      <c r="H40" s="1179"/>
    </row>
    <row r="41" spans="1:12" s="1134" customFormat="1" ht="13.5">
      <c r="A41" s="1139"/>
      <c r="B41" s="37"/>
      <c r="C41" s="37">
        <v>140</v>
      </c>
      <c r="D41" s="28" t="b">
        <f>IF(G21&gt;=G12,TRUE,FALSE)</f>
        <v>1</v>
      </c>
      <c r="E41" s="38" t="s">
        <v>610</v>
      </c>
      <c r="F41" s="1179"/>
      <c r="G41" s="1179"/>
      <c r="H41" s="1179"/>
    </row>
    <row r="42" spans="1:12" s="1134" customFormat="1" ht="13.5">
      <c r="A42" s="1139"/>
      <c r="B42" s="37"/>
      <c r="C42" s="37">
        <v>150</v>
      </c>
      <c r="D42" s="28" t="b">
        <f>IF(H21&gt;=H12,TRUE,FALSE)</f>
        <v>1</v>
      </c>
      <c r="E42" s="38" t="s">
        <v>611</v>
      </c>
      <c r="F42" s="1179"/>
      <c r="G42" s="1179"/>
      <c r="H42" s="1179"/>
    </row>
    <row r="43" spans="1:12" s="1134" customFormat="1" ht="13.5">
      <c r="A43" s="1139"/>
      <c r="B43" s="37"/>
      <c r="C43" s="37">
        <v>160</v>
      </c>
      <c r="D43" s="28" t="b">
        <f>H5=D5+E5+F5+G5</f>
        <v>1</v>
      </c>
      <c r="E43" s="38" t="s">
        <v>612</v>
      </c>
      <c r="F43" s="1179"/>
      <c r="G43" s="1179"/>
      <c r="H43" s="1179"/>
      <c r="I43" s="1139"/>
      <c r="J43" s="1139"/>
      <c r="K43" s="1139"/>
      <c r="L43" s="1139"/>
    </row>
    <row r="44" spans="1:12" s="1134" customFormat="1" ht="13.5">
      <c r="A44" s="1139"/>
      <c r="B44" s="37"/>
      <c r="C44" s="37">
        <v>170</v>
      </c>
      <c r="D44" s="28" t="b">
        <f t="shared" ref="D44:D55" si="1">H6=D6+E6+F6+G6</f>
        <v>1</v>
      </c>
      <c r="E44" s="38" t="s">
        <v>613</v>
      </c>
      <c r="F44" s="1179"/>
      <c r="G44" s="1179"/>
      <c r="H44" s="1179"/>
      <c r="I44" s="1139"/>
      <c r="J44" s="1139"/>
      <c r="K44" s="1139"/>
      <c r="L44" s="1139"/>
    </row>
    <row r="45" spans="1:12" s="1134" customFormat="1" ht="13.5">
      <c r="A45" s="1139"/>
      <c r="B45" s="37"/>
      <c r="C45" s="37">
        <v>180</v>
      </c>
      <c r="D45" s="28" t="b">
        <f t="shared" si="1"/>
        <v>1</v>
      </c>
      <c r="E45" s="38" t="s">
        <v>614</v>
      </c>
      <c r="F45" s="1179"/>
      <c r="G45" s="1179"/>
      <c r="H45" s="1179"/>
      <c r="I45" s="1139"/>
      <c r="J45" s="1139"/>
      <c r="K45" s="1139"/>
      <c r="L45" s="1139"/>
    </row>
    <row r="46" spans="1:12" s="1134" customFormat="1" ht="13.5">
      <c r="A46" s="1139"/>
      <c r="B46" s="37"/>
      <c r="C46" s="37">
        <v>190</v>
      </c>
      <c r="D46" s="28" t="b">
        <f t="shared" si="1"/>
        <v>1</v>
      </c>
      <c r="E46" s="38" t="s">
        <v>615</v>
      </c>
      <c r="F46" s="1179"/>
      <c r="G46" s="1179"/>
      <c r="H46" s="1179"/>
      <c r="I46" s="1139"/>
      <c r="J46" s="1139"/>
      <c r="K46" s="1139"/>
      <c r="L46" s="1139"/>
    </row>
    <row r="47" spans="1:12" s="1134" customFormat="1" ht="13.5">
      <c r="A47" s="1139"/>
      <c r="B47" s="37"/>
      <c r="C47" s="37">
        <v>200</v>
      </c>
      <c r="D47" s="28" t="b">
        <f t="shared" si="1"/>
        <v>1</v>
      </c>
      <c r="E47" s="38" t="s">
        <v>616</v>
      </c>
      <c r="F47" s="1179"/>
      <c r="G47" s="1179"/>
      <c r="H47" s="1179"/>
      <c r="I47" s="1139"/>
      <c r="J47" s="1139"/>
      <c r="K47" s="1139"/>
      <c r="L47" s="1139"/>
    </row>
    <row r="48" spans="1:12" s="1134" customFormat="1" ht="13.5">
      <c r="A48" s="1139"/>
      <c r="B48" s="37"/>
      <c r="C48" s="37">
        <v>210</v>
      </c>
      <c r="D48" s="28" t="b">
        <f t="shared" si="1"/>
        <v>1</v>
      </c>
      <c r="E48" s="38" t="s">
        <v>617</v>
      </c>
      <c r="F48" s="1179"/>
      <c r="G48" s="1179"/>
      <c r="H48" s="1179"/>
      <c r="I48" s="1139"/>
      <c r="J48" s="1139"/>
      <c r="K48" s="1139"/>
      <c r="L48" s="1139"/>
    </row>
    <row r="49" spans="1:12" s="1134" customFormat="1" ht="13.5">
      <c r="A49" s="1139"/>
      <c r="B49" s="37"/>
      <c r="C49" s="37">
        <v>220</v>
      </c>
      <c r="D49" s="28" t="b">
        <f t="shared" si="1"/>
        <v>1</v>
      </c>
      <c r="E49" s="38" t="s">
        <v>618</v>
      </c>
      <c r="F49" s="1179"/>
      <c r="G49" s="1179"/>
      <c r="H49" s="1179"/>
      <c r="I49" s="1139"/>
      <c r="J49" s="1139"/>
      <c r="K49" s="1139"/>
      <c r="L49" s="1139"/>
    </row>
    <row r="50" spans="1:12" s="1134" customFormat="1" ht="13.5">
      <c r="A50" s="1139"/>
      <c r="B50" s="37"/>
      <c r="C50" s="37">
        <v>230</v>
      </c>
      <c r="D50" s="28" t="b">
        <f t="shared" si="1"/>
        <v>1</v>
      </c>
      <c r="E50" s="38" t="s">
        <v>619</v>
      </c>
      <c r="F50" s="1179"/>
      <c r="G50" s="1179"/>
      <c r="H50" s="1179"/>
      <c r="I50" s="1139"/>
      <c r="J50" s="1139"/>
      <c r="K50" s="1139"/>
      <c r="L50" s="1139"/>
    </row>
    <row r="51" spans="1:12" s="1134" customFormat="1" ht="13.5">
      <c r="A51" s="1139"/>
      <c r="B51" s="37"/>
      <c r="C51" s="37">
        <v>240</v>
      </c>
      <c r="D51" s="28" t="b">
        <f t="shared" si="1"/>
        <v>1</v>
      </c>
      <c r="E51" s="38" t="s">
        <v>2051</v>
      </c>
      <c r="F51" s="1179"/>
      <c r="G51" s="1179"/>
      <c r="H51" s="1179"/>
      <c r="I51" s="1139"/>
      <c r="J51" s="1139"/>
      <c r="K51" s="1139"/>
      <c r="L51" s="1139"/>
    </row>
    <row r="52" spans="1:12" s="1134" customFormat="1" ht="13.5">
      <c r="A52" s="1139"/>
      <c r="B52" s="37"/>
      <c r="C52" s="37">
        <v>250</v>
      </c>
      <c r="D52" s="28" t="b">
        <f t="shared" si="1"/>
        <v>1</v>
      </c>
      <c r="E52" s="38" t="s">
        <v>2052</v>
      </c>
      <c r="F52" s="1179"/>
      <c r="G52" s="1179"/>
      <c r="H52" s="1179"/>
      <c r="I52" s="1139"/>
      <c r="J52" s="1139"/>
      <c r="K52" s="1139"/>
      <c r="L52" s="1139"/>
    </row>
    <row r="53" spans="1:12" s="1134" customFormat="1" ht="13.5">
      <c r="A53" s="1139"/>
      <c r="B53" s="37"/>
      <c r="C53" s="37">
        <v>260</v>
      </c>
      <c r="D53" s="28" t="b">
        <f t="shared" si="1"/>
        <v>1</v>
      </c>
      <c r="E53" s="38" t="s">
        <v>2053</v>
      </c>
      <c r="F53" s="1179"/>
      <c r="G53" s="1179"/>
      <c r="H53" s="1179"/>
      <c r="I53" s="1139"/>
      <c r="J53" s="1139"/>
      <c r="K53" s="1139"/>
      <c r="L53" s="1139"/>
    </row>
    <row r="54" spans="1:12" s="1134" customFormat="1" ht="13.5">
      <c r="A54" s="1139"/>
      <c r="B54" s="37"/>
      <c r="C54" s="37">
        <v>270</v>
      </c>
      <c r="D54" s="28" t="b">
        <f t="shared" si="1"/>
        <v>1</v>
      </c>
      <c r="E54" s="38" t="s">
        <v>2669</v>
      </c>
      <c r="F54" s="1179"/>
      <c r="G54" s="1179"/>
      <c r="H54" s="1179"/>
      <c r="I54" s="1139"/>
      <c r="J54" s="1139"/>
      <c r="K54" s="1139"/>
      <c r="L54" s="1139"/>
    </row>
    <row r="55" spans="1:12" s="1134" customFormat="1" ht="13.5">
      <c r="A55" s="1139"/>
      <c r="B55" s="37"/>
      <c r="C55" s="37">
        <v>280</v>
      </c>
      <c r="D55" s="28" t="b">
        <f t="shared" si="1"/>
        <v>1</v>
      </c>
      <c r="E55" s="38" t="s">
        <v>2670</v>
      </c>
      <c r="F55" s="1179"/>
      <c r="G55" s="1179"/>
      <c r="H55" s="1179"/>
      <c r="I55" s="1139"/>
      <c r="J55" s="1139"/>
      <c r="K55" s="1139"/>
      <c r="L55" s="1139"/>
    </row>
    <row r="56" spans="1:12" s="1134" customFormat="1" ht="13.5">
      <c r="A56" s="1139"/>
      <c r="B56" s="37"/>
      <c r="C56" s="37">
        <v>290</v>
      </c>
      <c r="D56" s="28" t="b">
        <f>H18=D18+G18</f>
        <v>1</v>
      </c>
      <c r="E56" s="38" t="s">
        <v>2676</v>
      </c>
      <c r="F56" s="1179"/>
      <c r="G56" s="1179"/>
      <c r="H56" s="1179"/>
      <c r="I56" s="1139"/>
      <c r="J56" s="1139"/>
      <c r="K56" s="1139"/>
      <c r="L56" s="1139"/>
    </row>
    <row r="57" spans="1:12" s="1134" customFormat="1" ht="13.5">
      <c r="A57" s="1139"/>
      <c r="B57" s="37"/>
      <c r="C57" s="37">
        <v>300</v>
      </c>
      <c r="D57" s="28" t="b">
        <f>H19=D19+E19+F19+G19</f>
        <v>1</v>
      </c>
      <c r="E57" s="38" t="s">
        <v>2677</v>
      </c>
      <c r="F57" s="1179"/>
      <c r="G57" s="1179"/>
      <c r="H57" s="1179"/>
      <c r="I57" s="1139"/>
      <c r="J57" s="1139"/>
      <c r="K57" s="1139"/>
      <c r="L57" s="1139"/>
    </row>
    <row r="58" spans="1:12" s="1134" customFormat="1" ht="13.5">
      <c r="A58" s="1139"/>
      <c r="B58" s="37"/>
      <c r="C58" s="37">
        <v>310</v>
      </c>
      <c r="D58" s="28" t="b">
        <f>H20=D20+E20+F20+G20</f>
        <v>1</v>
      </c>
      <c r="E58" s="38" t="s">
        <v>2678</v>
      </c>
      <c r="F58" s="1179"/>
      <c r="G58" s="1179"/>
      <c r="H58" s="1179"/>
      <c r="I58" s="1139"/>
      <c r="J58" s="1139"/>
      <c r="K58" s="1139"/>
      <c r="L58" s="1139"/>
    </row>
    <row r="59" spans="1:12" s="1134" customFormat="1" ht="13.5">
      <c r="A59" s="1139"/>
      <c r="B59" s="37"/>
      <c r="C59" s="37">
        <v>320</v>
      </c>
      <c r="D59" s="28" t="b">
        <f>H21=D21+E21+F21+G21</f>
        <v>1</v>
      </c>
      <c r="E59" s="38" t="s">
        <v>2679</v>
      </c>
      <c r="F59" s="1179"/>
      <c r="G59" s="1179"/>
      <c r="H59" s="1179"/>
      <c r="I59" s="1139"/>
      <c r="J59" s="1139"/>
      <c r="K59" s="1139"/>
      <c r="L59" s="1139"/>
    </row>
    <row r="60" spans="1:12" s="1134" customFormat="1" ht="13.5">
      <c r="A60" s="1139"/>
      <c r="B60" s="37"/>
      <c r="C60" s="37">
        <v>330</v>
      </c>
      <c r="D60" s="28" t="b">
        <f>H23=D23+E23+F23+G23</f>
        <v>1</v>
      </c>
      <c r="E60" s="38" t="s">
        <v>2680</v>
      </c>
      <c r="F60" s="1179"/>
      <c r="G60" s="1179"/>
      <c r="H60" s="1179"/>
    </row>
    <row r="61" spans="1:12" s="1134" customFormat="1" ht="13.5">
      <c r="A61" s="1139"/>
      <c r="B61" s="37"/>
      <c r="C61" s="37">
        <v>340</v>
      </c>
      <c r="D61" s="28" t="b">
        <f>H24=E24+F24+G24</f>
        <v>1</v>
      </c>
      <c r="E61" s="38" t="s">
        <v>2681</v>
      </c>
      <c r="F61" s="1179"/>
      <c r="G61" s="1179"/>
      <c r="H61" s="1179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B2" sqref="B2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27" top="1" bottom="1" header="0.5" footer="0.5"/>
  <pageSetup paperSize="8" scale="125" orientation="portrait" r:id="rId4"/>
  <headerFooter alignWithMargins="0">
    <oddHeader>&amp;C13.A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5"/>
  <sheetViews>
    <sheetView showGridLines="0" topLeftCell="A16" zoomScale="75" zoomScaleNormal="75" zoomScaleSheetLayoutView="100" workbookViewId="0"/>
  </sheetViews>
  <sheetFormatPr defaultRowHeight="12.75"/>
  <cols>
    <col min="1" max="1" width="39.42578125" customWidth="1"/>
    <col min="2" max="2" width="11.5703125" customWidth="1"/>
    <col min="3" max="3" width="8.140625" customWidth="1"/>
    <col min="4" max="4" width="9.42578125" customWidth="1"/>
    <col min="20" max="20" width="36.42578125" customWidth="1"/>
  </cols>
  <sheetData>
    <row r="1" spans="1:8" s="5" customFormat="1" ht="16.5" thickBot="1">
      <c r="A1" s="242" t="s">
        <v>1223</v>
      </c>
      <c r="B1" s="279"/>
      <c r="C1" s="279"/>
      <c r="D1" s="279"/>
      <c r="E1" s="279"/>
      <c r="F1" s="279"/>
      <c r="G1" s="279"/>
      <c r="H1" s="279"/>
    </row>
    <row r="2" spans="1:8" ht="174" customHeight="1" thickBot="1">
      <c r="A2" s="374" t="s">
        <v>1227</v>
      </c>
      <c r="B2" s="378" t="s">
        <v>137</v>
      </c>
      <c r="C2" s="327"/>
      <c r="D2" s="378" t="s">
        <v>1139</v>
      </c>
      <c r="E2" s="378" t="s">
        <v>1140</v>
      </c>
      <c r="F2" s="378" t="s">
        <v>1141</v>
      </c>
      <c r="G2" s="378" t="s">
        <v>1142</v>
      </c>
      <c r="H2" s="378" t="s">
        <v>2204</v>
      </c>
    </row>
    <row r="3" spans="1:8" ht="30.75" thickBot="1">
      <c r="A3" s="512" t="s">
        <v>137</v>
      </c>
      <c r="B3" s="513"/>
      <c r="C3" s="513"/>
      <c r="D3" s="511" t="s">
        <v>1143</v>
      </c>
      <c r="E3" s="511" t="s">
        <v>740</v>
      </c>
      <c r="F3" s="511" t="s">
        <v>1144</v>
      </c>
      <c r="G3" s="511" t="s">
        <v>1145</v>
      </c>
      <c r="H3" s="364"/>
    </row>
    <row r="4" spans="1:8" ht="15.75" thickBot="1">
      <c r="A4" s="315"/>
      <c r="B4" s="422"/>
      <c r="C4" s="452" t="s">
        <v>1135</v>
      </c>
      <c r="D4" s="387" t="s">
        <v>1013</v>
      </c>
      <c r="E4" s="387" t="s">
        <v>1014</v>
      </c>
      <c r="F4" s="387" t="s">
        <v>1015</v>
      </c>
      <c r="G4" s="387" t="s">
        <v>1016</v>
      </c>
      <c r="H4" s="387" t="s">
        <v>525</v>
      </c>
    </row>
    <row r="5" spans="1:8" ht="15.75" thickBot="1">
      <c r="A5" s="313" t="s">
        <v>1146</v>
      </c>
      <c r="B5" s="461" t="s">
        <v>1147</v>
      </c>
      <c r="C5" s="332">
        <v>7290</v>
      </c>
      <c r="D5" s="883"/>
      <c r="E5" s="883">
        <v>40</v>
      </c>
      <c r="F5" s="883">
        <v>20</v>
      </c>
      <c r="G5" s="883">
        <v>20</v>
      </c>
      <c r="H5" s="884">
        <f t="shared" ref="H5:H19" si="0">SUM(D5:G5)</f>
        <v>80</v>
      </c>
    </row>
    <row r="6" spans="1:8" ht="15.75" thickBot="1">
      <c r="A6" s="441" t="s">
        <v>1148</v>
      </c>
      <c r="B6" s="299" t="s">
        <v>1149</v>
      </c>
      <c r="C6" s="250">
        <v>7300</v>
      </c>
      <c r="D6" s="885"/>
      <c r="E6" s="885">
        <v>36</v>
      </c>
      <c r="F6" s="885">
        <v>18</v>
      </c>
      <c r="G6" s="885">
        <v>18</v>
      </c>
      <c r="H6" s="884">
        <f t="shared" si="0"/>
        <v>72</v>
      </c>
    </row>
    <row r="7" spans="1:8" ht="15.75" thickBot="1">
      <c r="A7" s="441" t="s">
        <v>1150</v>
      </c>
      <c r="B7" s="299" t="s">
        <v>1151</v>
      </c>
      <c r="C7" s="250">
        <v>7310</v>
      </c>
      <c r="D7" s="885"/>
      <c r="E7" s="885">
        <v>8</v>
      </c>
      <c r="F7" s="885">
        <v>4</v>
      </c>
      <c r="G7" s="885">
        <v>4</v>
      </c>
      <c r="H7" s="884">
        <f t="shared" si="0"/>
        <v>16</v>
      </c>
    </row>
    <row r="8" spans="1:8" ht="15.75" thickBot="1">
      <c r="A8" s="441" t="s">
        <v>1152</v>
      </c>
      <c r="B8" s="299" t="s">
        <v>1153</v>
      </c>
      <c r="C8" s="250">
        <v>7320</v>
      </c>
      <c r="D8" s="885"/>
      <c r="E8" s="885">
        <v>24</v>
      </c>
      <c r="F8" s="885">
        <v>12</v>
      </c>
      <c r="G8" s="885">
        <v>12</v>
      </c>
      <c r="H8" s="884">
        <f t="shared" si="0"/>
        <v>48</v>
      </c>
    </row>
    <row r="9" spans="1:8" ht="15.75" thickBot="1">
      <c r="A9" s="441" t="s">
        <v>1154</v>
      </c>
      <c r="B9" s="299" t="s">
        <v>1153</v>
      </c>
      <c r="C9" s="250">
        <v>7330</v>
      </c>
      <c r="D9" s="885"/>
      <c r="E9" s="885">
        <v>4</v>
      </c>
      <c r="F9" s="885">
        <v>2</v>
      </c>
      <c r="G9" s="885">
        <v>2</v>
      </c>
      <c r="H9" s="884">
        <f t="shared" si="0"/>
        <v>8</v>
      </c>
    </row>
    <row r="10" spans="1:8" ht="17.25" customHeight="1" thickBot="1">
      <c r="A10" s="441" t="s">
        <v>591</v>
      </c>
      <c r="B10" s="299" t="s">
        <v>1202</v>
      </c>
      <c r="C10" s="250">
        <v>7340</v>
      </c>
      <c r="D10" s="885"/>
      <c r="E10" s="885">
        <v>2</v>
      </c>
      <c r="F10" s="885">
        <v>1</v>
      </c>
      <c r="G10" s="885">
        <v>1</v>
      </c>
      <c r="H10" s="884">
        <f t="shared" si="0"/>
        <v>4</v>
      </c>
    </row>
    <row r="11" spans="1:8" ht="30.75" thickBot="1">
      <c r="A11" s="441" t="s">
        <v>1203</v>
      </c>
      <c r="B11" s="299" t="s">
        <v>1204</v>
      </c>
      <c r="C11" s="250">
        <v>7350</v>
      </c>
      <c r="D11" s="885"/>
      <c r="E11" s="885">
        <v>28</v>
      </c>
      <c r="F11" s="885">
        <v>9</v>
      </c>
      <c r="G11" s="885">
        <v>9</v>
      </c>
      <c r="H11" s="884">
        <f t="shared" si="0"/>
        <v>46</v>
      </c>
    </row>
    <row r="12" spans="1:8" ht="20.25" customHeight="1" thickBot="1">
      <c r="A12" s="441" t="s">
        <v>1206</v>
      </c>
      <c r="B12" s="299" t="s">
        <v>1207</v>
      </c>
      <c r="C12" s="250">
        <v>7360</v>
      </c>
      <c r="D12" s="885"/>
      <c r="E12" s="885">
        <v>4</v>
      </c>
      <c r="F12" s="885">
        <v>2</v>
      </c>
      <c r="G12" s="885">
        <v>2</v>
      </c>
      <c r="H12" s="884">
        <f t="shared" si="0"/>
        <v>8</v>
      </c>
    </row>
    <row r="13" spans="1:8" ht="30.75" thickBot="1">
      <c r="A13" s="441" t="s">
        <v>1208</v>
      </c>
      <c r="B13" s="299" t="s">
        <v>1209</v>
      </c>
      <c r="C13" s="250">
        <v>7370</v>
      </c>
      <c r="D13" s="885"/>
      <c r="E13" s="885">
        <v>12</v>
      </c>
      <c r="F13" s="885">
        <v>6</v>
      </c>
      <c r="G13" s="885">
        <v>6</v>
      </c>
      <c r="H13" s="884">
        <f t="shared" si="0"/>
        <v>24</v>
      </c>
    </row>
    <row r="14" spans="1:8" ht="15">
      <c r="A14" s="462" t="s">
        <v>1210</v>
      </c>
      <c r="B14" s="296"/>
      <c r="C14" s="250">
        <v>7380</v>
      </c>
      <c r="D14" s="894"/>
      <c r="E14" s="895">
        <f>E15</f>
        <v>12</v>
      </c>
      <c r="F14" s="895">
        <f>F15</f>
        <v>6</v>
      </c>
      <c r="G14" s="895">
        <f>SUM(G15:G16)</f>
        <v>10</v>
      </c>
      <c r="H14" s="895">
        <f t="shared" si="0"/>
        <v>28</v>
      </c>
    </row>
    <row r="15" spans="1:8" ht="32.25" customHeight="1">
      <c r="A15" s="463" t="s">
        <v>1228</v>
      </c>
      <c r="B15" s="464" t="s">
        <v>1211</v>
      </c>
      <c r="C15" s="250">
        <v>7390</v>
      </c>
      <c r="D15" s="896"/>
      <c r="E15" s="896">
        <v>12</v>
      </c>
      <c r="F15" s="896">
        <v>6</v>
      </c>
      <c r="G15" s="896">
        <v>6</v>
      </c>
      <c r="H15" s="897">
        <f t="shared" si="0"/>
        <v>24</v>
      </c>
    </row>
    <row r="16" spans="1:8" ht="15.75" thickBot="1">
      <c r="A16" s="470" t="s">
        <v>1212</v>
      </c>
      <c r="B16" s="297" t="s">
        <v>1213</v>
      </c>
      <c r="C16" s="250">
        <v>7400</v>
      </c>
      <c r="D16" s="898"/>
      <c r="E16" s="899"/>
      <c r="F16" s="899"/>
      <c r="G16" s="898">
        <v>4</v>
      </c>
      <c r="H16" s="900">
        <f t="shared" si="0"/>
        <v>4</v>
      </c>
    </row>
    <row r="17" spans="1:13" ht="15.75" thickBot="1">
      <c r="A17" s="441" t="s">
        <v>1214</v>
      </c>
      <c r="B17" s="299" t="s">
        <v>1215</v>
      </c>
      <c r="C17" s="250">
        <v>7410</v>
      </c>
      <c r="D17" s="885"/>
      <c r="E17" s="885">
        <v>22</v>
      </c>
      <c r="F17" s="885">
        <v>5</v>
      </c>
      <c r="G17" s="885">
        <v>7</v>
      </c>
      <c r="H17" s="884">
        <f t="shared" si="0"/>
        <v>34</v>
      </c>
    </row>
    <row r="18" spans="1:13" ht="15.75" thickBot="1">
      <c r="A18" s="313" t="s">
        <v>1216</v>
      </c>
      <c r="B18" s="461" t="s">
        <v>1147</v>
      </c>
      <c r="C18" s="250">
        <v>7420</v>
      </c>
      <c r="D18" s="884"/>
      <c r="E18" s="884">
        <f>E5+E6+E7-E8-E9-E10-E11+E12+E13-E14+E17</f>
        <v>52</v>
      </c>
      <c r="F18" s="884">
        <f>F5+F6+F7-F8-F9-F10-F11+F12+F13-F14+F17</f>
        <v>25</v>
      </c>
      <c r="G18" s="884">
        <f>G5+G6+G7-G8-G9-G10-G11+G12+G13-G14+G17</f>
        <v>23</v>
      </c>
      <c r="H18" s="884">
        <f t="shared" si="0"/>
        <v>100</v>
      </c>
    </row>
    <row r="19" spans="1:13" ht="15.75" thickBot="1">
      <c r="A19" s="313" t="s">
        <v>1217</v>
      </c>
      <c r="B19" s="461" t="s">
        <v>1218</v>
      </c>
      <c r="C19" s="336">
        <v>7430</v>
      </c>
      <c r="D19" s="883"/>
      <c r="E19" s="883">
        <v>6</v>
      </c>
      <c r="F19" s="883">
        <v>3</v>
      </c>
      <c r="G19" s="883">
        <v>3</v>
      </c>
      <c r="H19" s="884">
        <f t="shared" si="0"/>
        <v>12</v>
      </c>
    </row>
    <row r="20" spans="1:13" ht="15.75" thickBot="1">
      <c r="A20" s="467"/>
      <c r="B20" s="467"/>
      <c r="C20" s="467"/>
      <c r="D20" s="901"/>
      <c r="E20" s="901"/>
      <c r="F20" s="901"/>
      <c r="G20" s="901"/>
      <c r="H20" s="901"/>
    </row>
    <row r="21" spans="1:13" ht="15.75" thickBot="1">
      <c r="A21" s="469" t="s">
        <v>1219</v>
      </c>
      <c r="B21" s="427" t="s">
        <v>1220</v>
      </c>
      <c r="C21" s="359">
        <v>7440</v>
      </c>
      <c r="D21" s="902"/>
      <c r="E21" s="893">
        <v>8</v>
      </c>
      <c r="F21" s="893">
        <v>8</v>
      </c>
      <c r="G21" s="893">
        <v>8</v>
      </c>
      <c r="H21" s="884">
        <f>SUM(D21:G21)</f>
        <v>24</v>
      </c>
    </row>
    <row r="22" spans="1:13" ht="15.75" thickBot="1">
      <c r="A22" s="468" t="s">
        <v>1221</v>
      </c>
      <c r="B22" s="335" t="s">
        <v>1222</v>
      </c>
      <c r="C22" s="452">
        <v>7450</v>
      </c>
      <c r="D22" s="899"/>
      <c r="E22" s="893">
        <v>18</v>
      </c>
      <c r="F22" s="893">
        <v>18</v>
      </c>
      <c r="G22" s="893">
        <v>18</v>
      </c>
      <c r="H22" s="884">
        <f>SUM(E22:G22)</f>
        <v>54</v>
      </c>
    </row>
    <row r="23" spans="1:13" ht="15">
      <c r="A23" s="357"/>
      <c r="B23" s="430"/>
      <c r="C23" s="471"/>
      <c r="D23" s="472"/>
      <c r="E23" s="430"/>
      <c r="F23" s="430"/>
      <c r="G23" s="430"/>
      <c r="H23" s="430"/>
    </row>
    <row r="24" spans="1:13" ht="15.75" thickBot="1">
      <c r="A24" s="279"/>
      <c r="B24" s="279"/>
      <c r="C24" s="279"/>
      <c r="D24" s="279"/>
      <c r="E24" s="279"/>
      <c r="F24" s="279"/>
      <c r="G24" s="279"/>
      <c r="H24" s="279"/>
    </row>
    <row r="25" spans="1:13" ht="15.75" customHeight="1" thickBot="1">
      <c r="A25" s="473" t="s">
        <v>1229</v>
      </c>
      <c r="B25" s="303"/>
      <c r="C25" s="474">
        <v>7499</v>
      </c>
      <c r="D25" s="303"/>
      <c r="E25" s="303"/>
      <c r="F25" s="303"/>
      <c r="G25" s="303"/>
      <c r="H25" s="870">
        <f>H18+'13.a'!H20</f>
        <v>500</v>
      </c>
    </row>
    <row r="29" spans="1:13" s="1134" customFormat="1" ht="13.5">
      <c r="A29" s="1139"/>
      <c r="B29" s="1154"/>
      <c r="C29" s="37">
        <v>350</v>
      </c>
      <c r="D29" s="28" t="b">
        <f>H5=SUM(D5:G5)</f>
        <v>1</v>
      </c>
      <c r="E29" s="38" t="s">
        <v>2682</v>
      </c>
      <c r="F29" s="1179"/>
      <c r="G29" s="1179"/>
      <c r="H29" s="1179"/>
      <c r="I29" s="1139"/>
      <c r="J29" s="1139"/>
      <c r="K29" s="1139"/>
      <c r="L29" s="1139"/>
      <c r="M29" s="1139"/>
    </row>
    <row r="30" spans="1:13" s="1134" customFormat="1" ht="13.5">
      <c r="A30" s="1139"/>
      <c r="B30" s="1154"/>
      <c r="C30" s="37">
        <v>170</v>
      </c>
      <c r="D30" s="28" t="b">
        <f t="shared" ref="D30:D43" si="1">H6=SUM(D6:G6)</f>
        <v>1</v>
      </c>
      <c r="E30" s="38" t="s">
        <v>2683</v>
      </c>
      <c r="F30" s="1179"/>
      <c r="G30" s="1179"/>
      <c r="H30" s="1179"/>
      <c r="I30" s="1139"/>
      <c r="J30" s="1139"/>
      <c r="K30" s="1139"/>
      <c r="L30" s="1139"/>
      <c r="M30" s="1139"/>
    </row>
    <row r="31" spans="1:13" s="1134" customFormat="1" ht="13.5">
      <c r="A31" s="1139"/>
      <c r="B31" s="1154"/>
      <c r="C31" s="37">
        <v>180</v>
      </c>
      <c r="D31" s="28" t="b">
        <f t="shared" si="1"/>
        <v>1</v>
      </c>
      <c r="E31" s="38" t="s">
        <v>2684</v>
      </c>
      <c r="F31" s="1179"/>
      <c r="G31" s="1179"/>
      <c r="H31" s="1179"/>
      <c r="I31" s="1139"/>
      <c r="J31" s="1139"/>
      <c r="K31" s="1139"/>
      <c r="L31" s="1139"/>
      <c r="M31" s="1139"/>
    </row>
    <row r="32" spans="1:13" s="1134" customFormat="1" ht="13.5">
      <c r="A32" s="1139"/>
      <c r="B32" s="1154"/>
      <c r="C32" s="37">
        <v>190</v>
      </c>
      <c r="D32" s="28" t="b">
        <f t="shared" si="1"/>
        <v>1</v>
      </c>
      <c r="E32" s="38" t="s">
        <v>2685</v>
      </c>
      <c r="F32" s="1179"/>
      <c r="G32" s="1179"/>
      <c r="H32" s="1179"/>
      <c r="I32" s="1139"/>
      <c r="J32" s="1139"/>
      <c r="K32" s="1139"/>
      <c r="L32" s="1139"/>
      <c r="M32" s="1139"/>
    </row>
    <row r="33" spans="1:13" s="1134" customFormat="1" ht="13.5">
      <c r="A33" s="1139"/>
      <c r="B33" s="1154"/>
      <c r="C33" s="37">
        <v>200</v>
      </c>
      <c r="D33" s="28" t="b">
        <f t="shared" si="1"/>
        <v>1</v>
      </c>
      <c r="E33" s="38" t="s">
        <v>1252</v>
      </c>
      <c r="F33" s="1179"/>
      <c r="G33" s="1179"/>
      <c r="H33" s="1179"/>
      <c r="I33" s="1139"/>
      <c r="J33" s="1139"/>
      <c r="K33" s="1139"/>
      <c r="L33" s="1139"/>
      <c r="M33" s="1139"/>
    </row>
    <row r="34" spans="1:13" s="1134" customFormat="1" ht="13.5">
      <c r="A34" s="1139"/>
      <c r="B34" s="1154"/>
      <c r="C34" s="37">
        <v>230</v>
      </c>
      <c r="D34" s="28" t="b">
        <f t="shared" si="1"/>
        <v>1</v>
      </c>
      <c r="E34" s="38" t="s">
        <v>1253</v>
      </c>
      <c r="F34" s="1179"/>
      <c r="G34" s="1179"/>
      <c r="H34" s="1179"/>
      <c r="I34" s="1139"/>
      <c r="J34" s="1139"/>
      <c r="K34" s="1139"/>
      <c r="L34" s="1139"/>
      <c r="M34" s="1139"/>
    </row>
    <row r="35" spans="1:13" s="1134" customFormat="1" ht="13.5">
      <c r="A35" s="1139"/>
      <c r="B35" s="1154"/>
      <c r="C35" s="37">
        <v>240</v>
      </c>
      <c r="D35" s="28" t="b">
        <f t="shared" si="1"/>
        <v>1</v>
      </c>
      <c r="E35" s="38" t="s">
        <v>1254</v>
      </c>
      <c r="F35" s="1179"/>
      <c r="G35" s="1179"/>
      <c r="H35" s="1179"/>
      <c r="I35" s="1139"/>
      <c r="J35" s="1139"/>
      <c r="K35" s="1139"/>
      <c r="L35" s="1139"/>
      <c r="M35" s="1139"/>
    </row>
    <row r="36" spans="1:13" s="1134" customFormat="1" ht="13.5">
      <c r="A36" s="1139"/>
      <c r="B36" s="1154"/>
      <c r="C36" s="37">
        <v>250</v>
      </c>
      <c r="D36" s="28" t="b">
        <f t="shared" si="1"/>
        <v>1</v>
      </c>
      <c r="E36" s="38" t="s">
        <v>1255</v>
      </c>
      <c r="F36" s="1179"/>
      <c r="G36" s="1179"/>
      <c r="H36" s="1179"/>
      <c r="I36" s="1139"/>
      <c r="J36" s="1139"/>
      <c r="K36" s="1139"/>
      <c r="L36" s="1139"/>
      <c r="M36" s="1139"/>
    </row>
    <row r="37" spans="1:13" s="1134" customFormat="1" ht="13.5">
      <c r="A37" s="1139"/>
      <c r="B37" s="1154"/>
      <c r="C37" s="37">
        <v>260</v>
      </c>
      <c r="D37" s="28" t="b">
        <f t="shared" si="1"/>
        <v>1</v>
      </c>
      <c r="E37" s="38" t="s">
        <v>1256</v>
      </c>
      <c r="F37" s="1179"/>
      <c r="G37" s="1179"/>
      <c r="H37" s="1179"/>
      <c r="I37" s="1139"/>
      <c r="J37" s="1139"/>
      <c r="K37" s="1139"/>
      <c r="L37" s="1139"/>
      <c r="M37" s="1139"/>
    </row>
    <row r="38" spans="1:13" s="1134" customFormat="1" ht="13.5">
      <c r="A38" s="1139"/>
      <c r="B38" s="1154"/>
      <c r="C38" s="37">
        <v>270</v>
      </c>
      <c r="D38" s="28" t="b">
        <f t="shared" si="1"/>
        <v>1</v>
      </c>
      <c r="E38" s="38" t="s">
        <v>1257</v>
      </c>
      <c r="F38" s="1179"/>
      <c r="G38" s="1179"/>
      <c r="H38" s="1179"/>
      <c r="I38" s="1139"/>
      <c r="J38" s="1139"/>
      <c r="K38" s="1139"/>
      <c r="L38" s="1139"/>
      <c r="M38" s="1139"/>
    </row>
    <row r="39" spans="1:13" s="1134" customFormat="1" ht="13.5">
      <c r="A39" s="1139"/>
      <c r="B39" s="1154"/>
      <c r="C39" s="37">
        <v>280</v>
      </c>
      <c r="D39" s="28" t="b">
        <f t="shared" si="1"/>
        <v>1</v>
      </c>
      <c r="E39" s="38" t="s">
        <v>1258</v>
      </c>
      <c r="F39" s="1179"/>
      <c r="G39" s="1179"/>
      <c r="H39" s="1179"/>
      <c r="I39" s="1139"/>
      <c r="J39" s="1139"/>
      <c r="K39" s="1139"/>
      <c r="L39" s="1139"/>
      <c r="M39" s="1139"/>
    </row>
    <row r="40" spans="1:13" s="1134" customFormat="1" ht="13.5">
      <c r="A40" s="1139"/>
      <c r="B40" s="1154"/>
      <c r="C40" s="37">
        <v>290</v>
      </c>
      <c r="D40" s="28" t="b">
        <f>H16=D16+G16</f>
        <v>1</v>
      </c>
      <c r="E40" s="38" t="s">
        <v>1259</v>
      </c>
      <c r="F40" s="1179"/>
      <c r="G40" s="1179"/>
      <c r="H40" s="1179"/>
      <c r="I40" s="1139"/>
      <c r="J40" s="1139"/>
      <c r="K40" s="1139"/>
      <c r="L40" s="1139"/>
      <c r="M40" s="1139"/>
    </row>
    <row r="41" spans="1:13" s="1134" customFormat="1" ht="13.5">
      <c r="A41" s="1139"/>
      <c r="B41" s="1154"/>
      <c r="C41" s="37">
        <v>300</v>
      </c>
      <c r="D41" s="28" t="b">
        <f t="shared" si="1"/>
        <v>1</v>
      </c>
      <c r="E41" s="38" t="s">
        <v>1260</v>
      </c>
      <c r="F41" s="1179"/>
      <c r="G41" s="1179"/>
      <c r="H41" s="1179"/>
      <c r="I41" s="1139"/>
      <c r="J41" s="1139"/>
      <c r="K41" s="1139"/>
      <c r="L41" s="1139"/>
      <c r="M41" s="1139"/>
    </row>
    <row r="42" spans="1:13" s="1134" customFormat="1" ht="13.5">
      <c r="A42" s="1139"/>
      <c r="B42" s="1154"/>
      <c r="C42" s="37">
        <v>310</v>
      </c>
      <c r="D42" s="28" t="b">
        <f t="shared" si="1"/>
        <v>1</v>
      </c>
      <c r="E42" s="38" t="s">
        <v>1261</v>
      </c>
      <c r="F42" s="1179"/>
      <c r="G42" s="1179"/>
      <c r="H42" s="1179"/>
      <c r="I42" s="1139"/>
      <c r="J42" s="1139"/>
      <c r="K42" s="1139"/>
      <c r="L42" s="1139"/>
      <c r="M42" s="1139"/>
    </row>
    <row r="43" spans="1:13" s="1134" customFormat="1" ht="13.5">
      <c r="A43" s="1139"/>
      <c r="B43" s="1154"/>
      <c r="C43" s="37">
        <v>320</v>
      </c>
      <c r="D43" s="28" t="b">
        <f t="shared" si="1"/>
        <v>1</v>
      </c>
      <c r="E43" s="38" t="s">
        <v>1262</v>
      </c>
      <c r="F43" s="1179"/>
      <c r="G43" s="1179"/>
      <c r="H43" s="1179"/>
      <c r="I43" s="1139"/>
      <c r="J43" s="1139"/>
      <c r="K43" s="1139"/>
      <c r="L43" s="1139"/>
      <c r="M43" s="1139"/>
    </row>
    <row r="44" spans="1:13" s="1134" customFormat="1" ht="13.5">
      <c r="A44" s="1139"/>
      <c r="B44" s="1154"/>
      <c r="C44" s="37">
        <v>330</v>
      </c>
      <c r="D44" s="28" t="b">
        <f>H21=SUM(D21:G21)</f>
        <v>1</v>
      </c>
      <c r="E44" s="38" t="s">
        <v>1263</v>
      </c>
      <c r="F44" s="1179"/>
      <c r="G44" s="1179"/>
      <c r="H44" s="1179"/>
      <c r="I44" s="1139"/>
      <c r="J44" s="1139"/>
      <c r="K44" s="1139"/>
      <c r="L44" s="1139"/>
      <c r="M44" s="1139"/>
    </row>
    <row r="45" spans="1:13" s="1134" customFormat="1" ht="13.5">
      <c r="A45" s="1139"/>
      <c r="B45" s="1154"/>
      <c r="C45" s="37">
        <v>340</v>
      </c>
      <c r="D45" s="28" t="b">
        <f>H22=SUM(E22:G22)</f>
        <v>1</v>
      </c>
      <c r="E45" s="38" t="s">
        <v>1264</v>
      </c>
      <c r="F45" s="1179"/>
      <c r="G45" s="1179"/>
      <c r="H45" s="1179"/>
      <c r="I45" s="1139"/>
      <c r="J45" s="1139"/>
      <c r="K45" s="1139"/>
      <c r="L45" s="1139"/>
      <c r="M45" s="1139"/>
    </row>
    <row r="46" spans="1:13" s="1134" customFormat="1" ht="13.5">
      <c r="A46" s="1139"/>
      <c r="B46" s="1154"/>
      <c r="C46" s="37">
        <v>10</v>
      </c>
      <c r="D46" s="28" t="b">
        <f>D14=D15+D16</f>
        <v>1</v>
      </c>
      <c r="E46" s="38" t="s">
        <v>1265</v>
      </c>
      <c r="F46" s="1179"/>
      <c r="G46" s="1179"/>
      <c r="H46" s="1179"/>
      <c r="I46" s="1139"/>
      <c r="J46" s="1139"/>
    </row>
    <row r="47" spans="1:13" s="1134" customFormat="1" ht="13.5">
      <c r="A47" s="1139"/>
      <c r="B47" s="1154"/>
      <c r="C47" s="37">
        <v>40</v>
      </c>
      <c r="D47" s="28" t="b">
        <f>G14=G15+G16</f>
        <v>1</v>
      </c>
      <c r="E47" s="38" t="s">
        <v>1266</v>
      </c>
      <c r="F47" s="1179"/>
      <c r="G47" s="1179"/>
      <c r="H47" s="1179"/>
      <c r="I47" s="1139"/>
      <c r="J47" s="1139"/>
    </row>
    <row r="48" spans="1:13" s="1134" customFormat="1" ht="13.5">
      <c r="A48" s="1139"/>
      <c r="B48" s="1154"/>
      <c r="C48" s="37">
        <v>50</v>
      </c>
      <c r="D48" s="28" t="b">
        <f>H14=H15+H16</f>
        <v>1</v>
      </c>
      <c r="E48" s="38" t="s">
        <v>1267</v>
      </c>
      <c r="F48" s="1179"/>
      <c r="G48" s="1179"/>
      <c r="H48" s="1179"/>
      <c r="I48" s="1139"/>
      <c r="J48" s="1139"/>
    </row>
    <row r="49" spans="1:8" s="1134" customFormat="1" ht="13.5">
      <c r="A49" s="1139"/>
      <c r="B49" s="1154"/>
      <c r="C49" s="37">
        <v>110</v>
      </c>
      <c r="D49" s="28" t="b">
        <f>IF(D19&gt;=D10,TRUE,FALSE)</f>
        <v>1</v>
      </c>
      <c r="E49" s="38" t="s">
        <v>1268</v>
      </c>
      <c r="F49" s="1179"/>
      <c r="G49" s="1179"/>
      <c r="H49" s="1179"/>
    </row>
    <row r="50" spans="1:8" s="1134" customFormat="1" ht="13.5">
      <c r="A50" s="1139"/>
      <c r="B50" s="1154"/>
      <c r="C50" s="37">
        <v>120</v>
      </c>
      <c r="D50" s="28" t="b">
        <f>IF(E19&gt;=E10,TRUE,FALSE)</f>
        <v>1</v>
      </c>
      <c r="E50" s="38" t="s">
        <v>1269</v>
      </c>
      <c r="F50" s="1179"/>
      <c r="G50" s="1179"/>
      <c r="H50" s="1179"/>
    </row>
    <row r="51" spans="1:8" s="1134" customFormat="1" ht="13.5">
      <c r="A51" s="1139"/>
      <c r="B51" s="1154"/>
      <c r="C51" s="37">
        <v>130</v>
      </c>
      <c r="D51" s="28" t="b">
        <f>IF(F19&gt;=F10,TRUE,FALSE)</f>
        <v>1</v>
      </c>
      <c r="E51" s="38" t="s">
        <v>1270</v>
      </c>
      <c r="F51" s="1179"/>
      <c r="G51" s="1179"/>
      <c r="H51" s="1179"/>
    </row>
    <row r="52" spans="1:8" s="1134" customFormat="1" ht="13.5">
      <c r="A52" s="1139"/>
      <c r="B52" s="1154"/>
      <c r="C52" s="37">
        <v>140</v>
      </c>
      <c r="D52" s="28" t="b">
        <f>IF(G19&gt;=G10,TRUE,FALSE)</f>
        <v>1</v>
      </c>
      <c r="E52" s="38" t="s">
        <v>89</v>
      </c>
      <c r="F52" s="1179"/>
      <c r="G52" s="1179"/>
      <c r="H52" s="1179"/>
    </row>
    <row r="53" spans="1:8" s="1134" customFormat="1" ht="13.5">
      <c r="A53" s="1139"/>
      <c r="B53" s="1154"/>
      <c r="C53" s="37">
        <v>150</v>
      </c>
      <c r="D53" s="28" t="b">
        <f>IF(H19&gt;=H10,TRUE,FALSE)</f>
        <v>1</v>
      </c>
      <c r="E53" s="38" t="s">
        <v>90</v>
      </c>
      <c r="F53" s="1179"/>
      <c r="G53" s="1179"/>
      <c r="H53" s="1179"/>
    </row>
    <row r="54" spans="1:8" s="1134" customFormat="1" ht="13.5">
      <c r="A54" s="1139"/>
      <c r="B54" s="1154"/>
      <c r="C54" s="37">
        <v>600</v>
      </c>
      <c r="D54" s="28" t="b">
        <f>H25=H18+'13.a'!H20</f>
        <v>1</v>
      </c>
      <c r="E54" s="38" t="s">
        <v>91</v>
      </c>
      <c r="F54" s="1179"/>
      <c r="G54" s="1179"/>
      <c r="H54" s="1179"/>
    </row>
    <row r="55" spans="1:8" s="1134" customFormat="1" ht="13.5">
      <c r="A55" s="1178"/>
      <c r="B55" s="1154"/>
      <c r="C55" s="37">
        <v>60</v>
      </c>
      <c r="D55" s="28" t="b">
        <f>D18=D5+D6+D7-D8-D9-D10-D11+D12+D13-D14+D17</f>
        <v>1</v>
      </c>
      <c r="E55" s="29" t="s">
        <v>1271</v>
      </c>
    </row>
    <row r="56" spans="1:8" s="1134" customFormat="1" ht="13.5">
      <c r="A56" s="1139"/>
      <c r="B56" s="1154"/>
      <c r="C56" s="37">
        <v>70</v>
      </c>
      <c r="D56" s="28" t="b">
        <f>E18=E5+E6+E7-E8-E9-E10-E11+E12+E13-E14+E17</f>
        <v>1</v>
      </c>
      <c r="E56" s="29" t="s">
        <v>1272</v>
      </c>
      <c r="F56" s="1179"/>
      <c r="G56" s="1179"/>
      <c r="H56" s="1179"/>
    </row>
    <row r="57" spans="1:8" s="1134" customFormat="1" ht="13.5">
      <c r="A57" s="1139"/>
      <c r="B57" s="1154"/>
      <c r="C57" s="37">
        <v>80</v>
      </c>
      <c r="D57" s="28" t="b">
        <f>F18=F5+F6+F7-F8-F9-F10-F11+F12+F13-F14+F17</f>
        <v>1</v>
      </c>
      <c r="E57" s="29" t="s">
        <v>1273</v>
      </c>
      <c r="F57" s="1179"/>
      <c r="G57" s="1179"/>
      <c r="H57" s="1179"/>
    </row>
    <row r="58" spans="1:8" s="1134" customFormat="1" ht="13.5">
      <c r="A58" s="1139"/>
      <c r="B58" s="1154"/>
      <c r="C58" s="37">
        <v>90</v>
      </c>
      <c r="D58" s="28" t="b">
        <f>G18=G5+G6+G7-G8-G9-G10-G11+G12+G13-G14+G17</f>
        <v>1</v>
      </c>
      <c r="E58" s="29" t="s">
        <v>1274</v>
      </c>
      <c r="F58" s="1179"/>
      <c r="G58" s="1179"/>
      <c r="H58" s="1179"/>
    </row>
    <row r="59" spans="1:8" s="1134" customFormat="1" ht="13.5">
      <c r="A59" s="1139"/>
      <c r="B59" s="1154"/>
      <c r="C59" s="37">
        <v>100</v>
      </c>
      <c r="D59" s="28" t="b">
        <f>H18=H5+H6+H7-H8-H9-H10-H11+H12+H13-H14+H17</f>
        <v>1</v>
      </c>
      <c r="E59" s="29" t="s">
        <v>2717</v>
      </c>
      <c r="F59" s="1179"/>
      <c r="G59" s="1179"/>
      <c r="H59" s="1179"/>
    </row>
    <row r="60" spans="1:8" s="1134" customFormat="1" ht="13.5">
      <c r="A60" s="1139"/>
      <c r="B60" s="1154"/>
      <c r="C60" s="37">
        <v>660</v>
      </c>
      <c r="D60" s="28" t="b">
        <f>H25='1.1'!E12</f>
        <v>1</v>
      </c>
      <c r="E60" s="29" t="s">
        <v>2718</v>
      </c>
      <c r="F60" s="1179"/>
      <c r="G60" s="1179"/>
      <c r="H60" s="1179"/>
    </row>
    <row r="61" spans="1:8" s="1134" customFormat="1" ht="13.5">
      <c r="A61" s="1139"/>
      <c r="B61" s="1154"/>
      <c r="C61" s="37">
        <v>20</v>
      </c>
      <c r="D61" s="28" t="b">
        <f>E14=E15</f>
        <v>1</v>
      </c>
      <c r="E61" s="38" t="s">
        <v>78</v>
      </c>
      <c r="F61" s="1179"/>
      <c r="G61" s="1179"/>
    </row>
    <row r="62" spans="1:8" s="1134" customFormat="1" ht="13.5">
      <c r="B62" s="1154"/>
      <c r="C62" s="37">
        <v>30</v>
      </c>
      <c r="D62" s="28" t="b">
        <f>F14=F15</f>
        <v>1</v>
      </c>
      <c r="E62" s="38" t="s">
        <v>79</v>
      </c>
      <c r="F62" s="1179"/>
      <c r="G62" s="1179"/>
    </row>
    <row r="63" spans="1:8" s="1134" customFormat="1" ht="13.5">
      <c r="C63" s="37">
        <v>670</v>
      </c>
      <c r="D63" s="28" t="b">
        <f>'13.a'!H13+'13.b'!H11='37.a'!C11</f>
        <v>1</v>
      </c>
      <c r="E63" s="29" t="s">
        <v>5</v>
      </c>
    </row>
    <row r="64" spans="1:8" s="1134" customFormat="1" ht="13.5">
      <c r="C64" s="37">
        <v>680</v>
      </c>
      <c r="D64" s="28" t="b">
        <f>'13.a'!H14+'13.b'!H12='37.a'!D11</f>
        <v>1</v>
      </c>
      <c r="E64" s="29" t="s">
        <v>6</v>
      </c>
    </row>
    <row r="65" s="1134" customFormat="1" ht="13.5"/>
  </sheetData>
  <customSheetViews>
    <customSheetView guid="{5D819D0C-25F7-408A-B978-F4F86F7655CA}" showPageBreaks="1" showRuler="0" topLeftCell="A7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5" sqref="A15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5" sqref="A15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17" right="0.15" top="1" bottom="1" header="0.5" footer="0.5"/>
  <pageSetup paperSize="8" scale="135" orientation="portrait" r:id="rId4"/>
  <headerFooter alignWithMargins="0">
    <oddHeader>&amp;C13.B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Normal="100" workbookViewId="0"/>
  </sheetViews>
  <sheetFormatPr defaultRowHeight="12.75"/>
  <cols>
    <col min="1" max="1" width="26.28515625" customWidth="1"/>
    <col min="2" max="2" width="15.42578125" style="4" customWidth="1"/>
    <col min="3" max="3" width="10.140625" style="4" customWidth="1"/>
    <col min="4" max="4" width="8.42578125" customWidth="1"/>
    <col min="5" max="5" width="10.140625" customWidth="1"/>
    <col min="6" max="6" width="10.42578125" customWidth="1"/>
    <col min="8" max="8" width="213.140625" customWidth="1"/>
  </cols>
  <sheetData>
    <row r="1" spans="1:10" ht="16.5" thickBot="1">
      <c r="A1" s="477" t="s">
        <v>1514</v>
      </c>
      <c r="B1" s="279"/>
      <c r="C1" s="279"/>
      <c r="D1" s="279"/>
      <c r="E1" s="279"/>
      <c r="F1" s="279"/>
    </row>
    <row r="2" spans="1:10" ht="145.5" customHeight="1" thickBot="1">
      <c r="A2" s="55"/>
      <c r="B2" s="378" t="s">
        <v>1117</v>
      </c>
      <c r="C2" s="478"/>
      <c r="D2" s="378" t="s">
        <v>1230</v>
      </c>
      <c r="E2" s="378" t="s">
        <v>1515</v>
      </c>
      <c r="F2" s="378" t="s">
        <v>1516</v>
      </c>
    </row>
    <row r="3" spans="1:10" ht="15.75" thickBot="1">
      <c r="A3" s="479"/>
      <c r="B3" s="480"/>
      <c r="C3" s="66" t="s">
        <v>1012</v>
      </c>
      <c r="D3" s="475" t="s">
        <v>1013</v>
      </c>
      <c r="E3" s="476" t="s">
        <v>1014</v>
      </c>
      <c r="F3" s="476" t="s">
        <v>1015</v>
      </c>
    </row>
    <row r="4" spans="1:10" ht="30.75" thickBot="1">
      <c r="A4" s="439" t="s">
        <v>1146</v>
      </c>
      <c r="B4" s="351" t="s">
        <v>1517</v>
      </c>
      <c r="C4" s="332">
        <v>7100</v>
      </c>
      <c r="D4" s="903">
        <v>500</v>
      </c>
      <c r="E4" s="903">
        <v>180</v>
      </c>
      <c r="F4" s="903">
        <v>25</v>
      </c>
    </row>
    <row r="5" spans="1:10" ht="33.75" customHeight="1" thickBot="1">
      <c r="A5" s="481" t="s">
        <v>1231</v>
      </c>
      <c r="B5" s="482" t="s">
        <v>152</v>
      </c>
      <c r="C5" s="250">
        <v>7110</v>
      </c>
      <c r="D5" s="903">
        <v>55</v>
      </c>
      <c r="E5" s="904"/>
      <c r="F5" s="904"/>
    </row>
    <row r="6" spans="1:10" ht="30.75" thickBot="1">
      <c r="A6" s="481" t="s">
        <v>1232</v>
      </c>
      <c r="B6" s="482" t="s">
        <v>151</v>
      </c>
      <c r="C6" s="250">
        <v>7120</v>
      </c>
      <c r="D6" s="903">
        <v>50</v>
      </c>
      <c r="E6" s="904"/>
      <c r="F6" s="904"/>
    </row>
    <row r="7" spans="1:10" ht="30.75" thickBot="1">
      <c r="A7" s="481" t="s">
        <v>1150</v>
      </c>
      <c r="B7" s="482" t="s">
        <v>153</v>
      </c>
      <c r="C7" s="250">
        <v>7130</v>
      </c>
      <c r="D7" s="903">
        <v>55</v>
      </c>
      <c r="E7" s="904"/>
      <c r="F7" s="904"/>
    </row>
    <row r="8" spans="1:10" ht="30.75" thickBot="1">
      <c r="A8" s="481" t="s">
        <v>1152</v>
      </c>
      <c r="B8" s="482" t="s">
        <v>154</v>
      </c>
      <c r="C8" s="250">
        <v>7140</v>
      </c>
      <c r="D8" s="903">
        <v>100</v>
      </c>
      <c r="E8" s="904"/>
      <c r="F8" s="904"/>
    </row>
    <row r="9" spans="1:10" ht="30.75" thickBot="1">
      <c r="A9" s="481" t="s">
        <v>1154</v>
      </c>
      <c r="B9" s="483" t="s">
        <v>156</v>
      </c>
      <c r="C9" s="250">
        <v>7150</v>
      </c>
      <c r="D9" s="903">
        <v>85</v>
      </c>
      <c r="E9" s="904"/>
      <c r="F9" s="904"/>
    </row>
    <row r="10" spans="1:10" ht="15.75" thickBot="1">
      <c r="A10" s="469" t="s">
        <v>591</v>
      </c>
      <c r="B10" s="427" t="s">
        <v>1233</v>
      </c>
      <c r="C10" s="250">
        <v>7160</v>
      </c>
      <c r="D10" s="903">
        <v>20</v>
      </c>
      <c r="E10" s="904"/>
      <c r="F10" s="904"/>
    </row>
    <row r="11" spans="1:10" ht="30.75" thickBot="1">
      <c r="A11" s="468" t="s">
        <v>1234</v>
      </c>
      <c r="B11" s="335" t="s">
        <v>1235</v>
      </c>
      <c r="C11" s="250">
        <v>7170</v>
      </c>
      <c r="D11" s="903">
        <v>35</v>
      </c>
      <c r="E11" s="904"/>
      <c r="F11" s="904"/>
    </row>
    <row r="12" spans="1:10" ht="15.75" thickBot="1">
      <c r="A12" s="468" t="s">
        <v>1236</v>
      </c>
      <c r="B12" s="335" t="s">
        <v>1235</v>
      </c>
      <c r="C12" s="250">
        <v>7180</v>
      </c>
      <c r="D12" s="903">
        <v>5</v>
      </c>
      <c r="E12" s="904"/>
      <c r="F12" s="904"/>
    </row>
    <row r="13" spans="1:10" ht="30.75" thickBot="1">
      <c r="A13" s="468" t="s">
        <v>1507</v>
      </c>
      <c r="B13" s="335" t="s">
        <v>1508</v>
      </c>
      <c r="C13" s="250">
        <v>7190</v>
      </c>
      <c r="D13" s="903">
        <v>30</v>
      </c>
      <c r="E13" s="904"/>
      <c r="F13" s="904"/>
      <c r="J13" s="9"/>
    </row>
    <row r="14" spans="1:10" ht="30.75" thickBot="1">
      <c r="A14" s="481" t="s">
        <v>1208</v>
      </c>
      <c r="B14" s="483" t="s">
        <v>157</v>
      </c>
      <c r="C14" s="250">
        <v>7200</v>
      </c>
      <c r="D14" s="903">
        <v>90</v>
      </c>
      <c r="E14" s="904"/>
      <c r="F14" s="904"/>
    </row>
    <row r="15" spans="1:10" ht="45.75" thickBot="1">
      <c r="A15" s="481" t="s">
        <v>1509</v>
      </c>
      <c r="B15" s="482" t="s">
        <v>158</v>
      </c>
      <c r="C15" s="250">
        <v>7210</v>
      </c>
      <c r="D15" s="903">
        <v>-5</v>
      </c>
      <c r="E15" s="904"/>
      <c r="F15" s="904"/>
    </row>
    <row r="16" spans="1:10" ht="45.75" thickBot="1">
      <c r="A16" s="481" t="s">
        <v>1510</v>
      </c>
      <c r="B16" s="482" t="s">
        <v>155</v>
      </c>
      <c r="C16" s="250">
        <v>7220</v>
      </c>
      <c r="D16" s="903">
        <v>85</v>
      </c>
      <c r="E16" s="904"/>
      <c r="F16" s="904"/>
    </row>
    <row r="17" spans="1:20" ht="30.75" thickBot="1">
      <c r="A17" s="481" t="s">
        <v>1214</v>
      </c>
      <c r="B17" s="298" t="s">
        <v>1483</v>
      </c>
      <c r="C17" s="250">
        <v>7230</v>
      </c>
      <c r="D17" s="903">
        <v>35</v>
      </c>
      <c r="E17" s="904"/>
      <c r="F17" s="904"/>
    </row>
    <row r="18" spans="1:20" ht="30.75" thickBot="1">
      <c r="A18" s="460" t="s">
        <v>1511</v>
      </c>
      <c r="B18" s="364" t="s">
        <v>1484</v>
      </c>
      <c r="C18" s="336">
        <v>7240</v>
      </c>
      <c r="D18" s="905">
        <f>D4+D5+D6+D7-D8-D9-D10-D11+D12+D13+D14-D15-D16+D17</f>
        <v>500</v>
      </c>
      <c r="E18" s="906">
        <v>265</v>
      </c>
      <c r="F18" s="906">
        <v>25</v>
      </c>
    </row>
    <row r="19" spans="1:20" ht="15.75" thickBot="1">
      <c r="A19" s="423"/>
      <c r="B19" s="423"/>
      <c r="C19" s="423"/>
      <c r="D19" s="423"/>
      <c r="E19" s="1207"/>
      <c r="F19" s="1207"/>
    </row>
    <row r="20" spans="1:20" ht="30.75" thickBot="1">
      <c r="A20" s="469" t="s">
        <v>1219</v>
      </c>
      <c r="B20" s="427" t="s">
        <v>1512</v>
      </c>
      <c r="C20" s="306">
        <v>7250</v>
      </c>
      <c r="D20" s="879">
        <v>95</v>
      </c>
      <c r="E20" s="1208"/>
      <c r="F20" s="1209"/>
    </row>
    <row r="21" spans="1:20" ht="30.75" thickBot="1">
      <c r="A21" s="468" t="s">
        <v>1221</v>
      </c>
      <c r="B21" s="335" t="s">
        <v>1513</v>
      </c>
      <c r="C21" s="306">
        <v>7260</v>
      </c>
      <c r="D21" s="879">
        <v>95</v>
      </c>
      <c r="E21" s="1208"/>
      <c r="F21" s="1209"/>
    </row>
    <row r="25" spans="1:20" s="12" customFormat="1" ht="15.75">
      <c r="A25" s="41"/>
      <c r="B25" s="43"/>
      <c r="C25" s="37">
        <v>10</v>
      </c>
      <c r="D25" s="28" t="b">
        <f>D18=D4+D5+D6+D7-D8-D9-D10-D11+D12+D13+D14-D15-D16+D17</f>
        <v>1</v>
      </c>
      <c r="E25" s="38" t="s">
        <v>2719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12" customFormat="1" ht="13.5">
      <c r="A26" s="41"/>
      <c r="B26" s="45"/>
      <c r="C26" s="37">
        <v>20</v>
      </c>
      <c r="D26" s="28" t="b">
        <f>D18='1.1'!E13</f>
        <v>1</v>
      </c>
      <c r="E26" s="29" t="s">
        <v>2720</v>
      </c>
    </row>
    <row r="27" spans="1:20" s="12" customFormat="1" ht="13.5">
      <c r="A27" s="41"/>
      <c r="B27" s="45"/>
      <c r="C27" s="37">
        <v>30</v>
      </c>
      <c r="D27" s="28" t="b">
        <f>D10='2.0'!E55</f>
        <v>1</v>
      </c>
      <c r="E27" s="29" t="s">
        <v>2721</v>
      </c>
    </row>
  </sheetData>
  <customSheetViews>
    <customSheetView guid="{5D819D0C-25F7-408A-B978-F4F86F7655CA}" showPageBreaks="1" showRuler="0" topLeftCell="A4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9" sqref="H9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9" sqref="H9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E19:F19"/>
    <mergeCell ref="E20:F20"/>
    <mergeCell ref="E21:F21"/>
  </mergeCells>
  <phoneticPr fontId="0" type="noConversion"/>
  <pageMargins left="0.2" right="0.09" top="1" bottom="1" header="0.5" footer="0.5"/>
  <pageSetup paperSize="8" scale="149" orientation="portrait" r:id="rId4"/>
  <headerFooter alignWithMargins="0">
    <oddHeader>&amp;C14.0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10"/>
  <sheetViews>
    <sheetView showGridLines="0" workbookViewId="0"/>
  </sheetViews>
  <sheetFormatPr defaultRowHeight="12.75"/>
  <cols>
    <col min="1" max="1" width="24.85546875" customWidth="1"/>
    <col min="3" max="3" width="8.7109375" customWidth="1"/>
    <col min="8" max="8" width="40.7109375" customWidth="1"/>
  </cols>
  <sheetData>
    <row r="1" spans="1:20" ht="16.5" thickBot="1">
      <c r="A1" s="477" t="s">
        <v>1514</v>
      </c>
      <c r="B1" s="279"/>
      <c r="C1" s="279"/>
      <c r="D1" s="279"/>
      <c r="E1" s="279"/>
    </row>
    <row r="2" spans="1:20" ht="102.75" customHeight="1" thickBot="1">
      <c r="A2" s="400"/>
      <c r="B2" s="271" t="s">
        <v>137</v>
      </c>
      <c r="C2" s="402"/>
      <c r="D2" s="378" t="s">
        <v>1485</v>
      </c>
      <c r="E2" s="378" t="s">
        <v>1511</v>
      </c>
    </row>
    <row r="3" spans="1:20" ht="15.75" thickBot="1">
      <c r="A3" s="485"/>
      <c r="B3" s="486"/>
      <c r="C3" s="452" t="s">
        <v>1012</v>
      </c>
      <c r="D3" s="306" t="s">
        <v>1016</v>
      </c>
      <c r="E3" s="319" t="s">
        <v>525</v>
      </c>
    </row>
    <row r="4" spans="1:20" ht="15.75" thickBot="1">
      <c r="A4" s="264" t="s">
        <v>1486</v>
      </c>
      <c r="B4" s="487" t="s">
        <v>1487</v>
      </c>
      <c r="C4" s="66">
        <v>7270</v>
      </c>
      <c r="D4" s="907">
        <v>565</v>
      </c>
      <c r="E4" s="908">
        <v>585</v>
      </c>
    </row>
    <row r="5" spans="1:20" ht="15.75" thickBot="1">
      <c r="A5" s="264" t="s">
        <v>1488</v>
      </c>
      <c r="B5" s="487" t="s">
        <v>1487</v>
      </c>
      <c r="C5" s="70">
        <v>7280</v>
      </c>
      <c r="D5" s="907">
        <v>65</v>
      </c>
      <c r="E5" s="908">
        <v>85</v>
      </c>
    </row>
    <row r="6" spans="1:20" ht="15">
      <c r="A6" s="279"/>
      <c r="B6" s="279"/>
      <c r="C6" s="279"/>
      <c r="D6" s="279"/>
      <c r="E6" s="279"/>
    </row>
    <row r="8" spans="1:20" s="12" customFormat="1" ht="15.75">
      <c r="A8" s="41"/>
      <c r="B8" s="43"/>
      <c r="C8" s="37"/>
      <c r="D8" s="28"/>
      <c r="E8" s="3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1"/>
      <c r="S8" s="41"/>
      <c r="T8" s="41"/>
    </row>
    <row r="9" spans="1:20" s="12" customFormat="1" ht="13.5">
      <c r="A9" s="41"/>
      <c r="B9" s="1105"/>
      <c r="C9" s="37">
        <v>40</v>
      </c>
      <c r="D9" s="28" t="b">
        <f>'1.1'!E13='14.B'!E4-'14.B'!E5</f>
        <v>1</v>
      </c>
      <c r="E9" s="29" t="s">
        <v>2722</v>
      </c>
      <c r="F9" s="41"/>
      <c r="G9" s="41"/>
      <c r="H9" s="41"/>
      <c r="I9" s="41"/>
    </row>
    <row r="10" spans="1:20">
      <c r="C10" s="2"/>
      <c r="D10" s="2"/>
      <c r="E10" s="2"/>
      <c r="F10" s="2"/>
      <c r="G10" s="2"/>
      <c r="H10" s="2"/>
      <c r="I10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4803149606299213" right="0.74803149606299213" top="0.98425196850393704" bottom="0.98425196850393704" header="0.51181102362204722" footer="0.51181102362204722"/>
  <pageSetup paperSize="8" scale="270" orientation="landscape" r:id="rId4"/>
  <headerFooter alignWithMargins="0">
    <oddHeader xml:space="preserve">&amp;C14.B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Normal="100" workbookViewId="0"/>
  </sheetViews>
  <sheetFormatPr defaultRowHeight="12.75"/>
  <cols>
    <col min="1" max="1" width="39.5703125" customWidth="1"/>
    <col min="2" max="2" width="12.7109375" customWidth="1"/>
    <col min="3" max="3" width="7.5703125" bestFit="1" customWidth="1"/>
    <col min="4" max="4" width="10.7109375" bestFit="1" customWidth="1"/>
    <col min="5" max="5" width="10.85546875" bestFit="1" customWidth="1"/>
    <col min="6" max="6" width="10" customWidth="1"/>
    <col min="7" max="7" width="9.42578125" customWidth="1"/>
    <col min="8" max="8" width="9.7109375" customWidth="1"/>
    <col min="22" max="22" width="71.140625" customWidth="1"/>
  </cols>
  <sheetData>
    <row r="1" spans="1:8" ht="16.5" thickBot="1">
      <c r="A1" s="477" t="s">
        <v>2141</v>
      </c>
      <c r="B1" s="279"/>
      <c r="C1" s="279"/>
      <c r="D1" s="279"/>
      <c r="E1" s="279"/>
      <c r="F1" s="279"/>
      <c r="G1" s="279"/>
      <c r="H1" s="279"/>
    </row>
    <row r="2" spans="1:8" ht="152.25" customHeight="1" thickBot="1">
      <c r="A2" s="277" t="s">
        <v>2142</v>
      </c>
      <c r="B2" s="271" t="s">
        <v>137</v>
      </c>
      <c r="C2" s="381"/>
      <c r="D2" s="271" t="s">
        <v>1489</v>
      </c>
      <c r="E2" s="271" t="s">
        <v>1490</v>
      </c>
      <c r="F2" s="271" t="s">
        <v>1491</v>
      </c>
      <c r="G2" s="271" t="s">
        <v>481</v>
      </c>
      <c r="H2" s="271" t="s">
        <v>2204</v>
      </c>
    </row>
    <row r="3" spans="1:8" s="510" customFormat="1" ht="30.75" thickBot="1">
      <c r="A3" s="514" t="s">
        <v>1129</v>
      </c>
      <c r="B3" s="515"/>
      <c r="C3" s="515"/>
      <c r="D3" s="516" t="s">
        <v>1492</v>
      </c>
      <c r="E3" s="516" t="s">
        <v>1493</v>
      </c>
      <c r="F3" s="516" t="s">
        <v>1494</v>
      </c>
      <c r="G3" s="516" t="s">
        <v>740</v>
      </c>
      <c r="H3" s="509"/>
    </row>
    <row r="4" spans="1:8" ht="15.75" thickBot="1">
      <c r="A4" s="488"/>
      <c r="B4" s="489"/>
      <c r="C4" s="446" t="s">
        <v>1134</v>
      </c>
      <c r="D4" s="490" t="s">
        <v>1013</v>
      </c>
      <c r="E4" s="490" t="s">
        <v>1014</v>
      </c>
      <c r="F4" s="490" t="s">
        <v>1015</v>
      </c>
      <c r="G4" s="490" t="s">
        <v>1016</v>
      </c>
      <c r="H4" s="490" t="s">
        <v>525</v>
      </c>
    </row>
    <row r="5" spans="1:8" ht="15.75" thickBot="1">
      <c r="A5" s="311" t="s">
        <v>1485</v>
      </c>
      <c r="B5" s="491" t="s">
        <v>1495</v>
      </c>
      <c r="C5" s="66">
        <v>7100</v>
      </c>
      <c r="D5" s="909">
        <v>70</v>
      </c>
      <c r="E5" s="909"/>
      <c r="F5" s="909">
        <v>70</v>
      </c>
      <c r="G5" s="909">
        <v>40</v>
      </c>
      <c r="H5" s="910">
        <f>SUM(D5:G5)</f>
        <v>180</v>
      </c>
    </row>
    <row r="6" spans="1:8" ht="15.75" thickBot="1">
      <c r="A6" s="492" t="s">
        <v>1496</v>
      </c>
      <c r="B6" s="493" t="s">
        <v>1497</v>
      </c>
      <c r="C6" s="68">
        <v>7110</v>
      </c>
      <c r="D6" s="911">
        <v>60</v>
      </c>
      <c r="E6" s="911"/>
      <c r="F6" s="911">
        <v>60</v>
      </c>
      <c r="G6" s="911">
        <v>10</v>
      </c>
      <c r="H6" s="910">
        <f>SUM(D6:G6)</f>
        <v>130</v>
      </c>
    </row>
    <row r="7" spans="1:8" ht="15.75" thickBot="1">
      <c r="A7" s="441" t="s">
        <v>1813</v>
      </c>
      <c r="B7" s="461" t="s">
        <v>1497</v>
      </c>
      <c r="C7" s="68">
        <v>7120</v>
      </c>
      <c r="D7" s="911">
        <v>50</v>
      </c>
      <c r="E7" s="911"/>
      <c r="F7" s="911">
        <v>50</v>
      </c>
      <c r="G7" s="911">
        <v>10</v>
      </c>
      <c r="H7" s="910">
        <f t="shared" ref="H7:H17" si="0">SUM(D7:G7)</f>
        <v>110</v>
      </c>
    </row>
    <row r="8" spans="1:8" ht="15.75" thickBot="1">
      <c r="A8" s="494" t="s">
        <v>1814</v>
      </c>
      <c r="B8" s="491" t="s">
        <v>1497</v>
      </c>
      <c r="C8" s="68">
        <v>7130</v>
      </c>
      <c r="D8" s="911">
        <v>50</v>
      </c>
      <c r="E8" s="911"/>
      <c r="F8" s="911">
        <v>50</v>
      </c>
      <c r="G8" s="911">
        <v>-9</v>
      </c>
      <c r="H8" s="910">
        <f t="shared" si="0"/>
        <v>91</v>
      </c>
    </row>
    <row r="9" spans="1:8" ht="15.75" thickBot="1">
      <c r="A9" s="494" t="s">
        <v>1815</v>
      </c>
      <c r="B9" s="491" t="s">
        <v>1816</v>
      </c>
      <c r="C9" s="68">
        <v>7140</v>
      </c>
      <c r="D9" s="911">
        <v>50</v>
      </c>
      <c r="E9" s="911"/>
      <c r="F9" s="911">
        <v>50</v>
      </c>
      <c r="G9" s="911">
        <v>10</v>
      </c>
      <c r="H9" s="910">
        <f t="shared" si="0"/>
        <v>110</v>
      </c>
    </row>
    <row r="10" spans="1:8" ht="30.75" thickBot="1">
      <c r="A10" s="494" t="s">
        <v>1510</v>
      </c>
      <c r="B10" s="491" t="s">
        <v>1817</v>
      </c>
      <c r="C10" s="68">
        <v>7150</v>
      </c>
      <c r="D10" s="911">
        <v>19</v>
      </c>
      <c r="E10" s="911"/>
      <c r="F10" s="911">
        <v>16</v>
      </c>
      <c r="G10" s="911">
        <v>10</v>
      </c>
      <c r="H10" s="910">
        <f t="shared" si="0"/>
        <v>45</v>
      </c>
    </row>
    <row r="11" spans="1:8" ht="18.75" customHeight="1" thickBot="1">
      <c r="A11" s="492" t="s">
        <v>1818</v>
      </c>
      <c r="B11" s="493" t="s">
        <v>1819</v>
      </c>
      <c r="C11" s="68">
        <v>7160</v>
      </c>
      <c r="D11" s="911">
        <v>4</v>
      </c>
      <c r="E11" s="911"/>
      <c r="F11" s="911">
        <v>4</v>
      </c>
      <c r="G11" s="911">
        <v>3</v>
      </c>
      <c r="H11" s="910">
        <f t="shared" si="0"/>
        <v>11</v>
      </c>
    </row>
    <row r="12" spans="1:8" ht="45.75" thickBot="1">
      <c r="A12" s="441" t="s">
        <v>1622</v>
      </c>
      <c r="B12" s="461" t="s">
        <v>1623</v>
      </c>
      <c r="C12" s="68">
        <v>7170</v>
      </c>
      <c r="D12" s="911">
        <v>50</v>
      </c>
      <c r="E12" s="911"/>
      <c r="F12" s="911">
        <v>50</v>
      </c>
      <c r="G12" s="911">
        <v>1</v>
      </c>
      <c r="H12" s="910">
        <f t="shared" si="0"/>
        <v>101</v>
      </c>
    </row>
    <row r="13" spans="1:8" ht="30.75" thickBot="1">
      <c r="A13" s="495" t="s">
        <v>269</v>
      </c>
      <c r="B13" s="461" t="s">
        <v>1623</v>
      </c>
      <c r="C13" s="68">
        <v>7175</v>
      </c>
      <c r="D13" s="911">
        <v>30</v>
      </c>
      <c r="E13" s="911"/>
      <c r="F13" s="911">
        <v>30</v>
      </c>
      <c r="G13" s="911">
        <v>-1</v>
      </c>
      <c r="H13" s="910">
        <f t="shared" si="0"/>
        <v>59</v>
      </c>
    </row>
    <row r="14" spans="1:8" ht="15.75" thickBot="1">
      <c r="A14" s="494" t="s">
        <v>1624</v>
      </c>
      <c r="B14" s="491" t="s">
        <v>1625</v>
      </c>
      <c r="C14" s="68">
        <v>7180</v>
      </c>
      <c r="D14" s="911">
        <v>60</v>
      </c>
      <c r="E14" s="911"/>
      <c r="F14" s="911">
        <v>60</v>
      </c>
      <c r="G14" s="911">
        <v>7</v>
      </c>
      <c r="H14" s="910">
        <f t="shared" si="0"/>
        <v>127</v>
      </c>
    </row>
    <row r="15" spans="1:8" ht="15.75" thickBot="1">
      <c r="A15" s="492" t="s">
        <v>1636</v>
      </c>
      <c r="B15" s="493" t="s">
        <v>1637</v>
      </c>
      <c r="C15" s="68">
        <v>7190</v>
      </c>
      <c r="D15" s="911">
        <v>40</v>
      </c>
      <c r="E15" s="911"/>
      <c r="F15" s="911">
        <v>40</v>
      </c>
      <c r="G15" s="911">
        <v>10</v>
      </c>
      <c r="H15" s="910">
        <f t="shared" si="0"/>
        <v>90</v>
      </c>
    </row>
    <row r="16" spans="1:8" ht="15.75" thickBot="1">
      <c r="A16" s="494" t="s">
        <v>1208</v>
      </c>
      <c r="B16" s="491" t="s">
        <v>1638</v>
      </c>
      <c r="C16" s="68">
        <v>7200</v>
      </c>
      <c r="D16" s="911">
        <v>50</v>
      </c>
      <c r="E16" s="911"/>
      <c r="F16" s="911">
        <v>50</v>
      </c>
      <c r="G16" s="911">
        <v>5</v>
      </c>
      <c r="H16" s="910">
        <f t="shared" si="0"/>
        <v>105</v>
      </c>
    </row>
    <row r="17" spans="1:14" ht="15.75" thickBot="1">
      <c r="A17" s="494" t="s">
        <v>146</v>
      </c>
      <c r="B17" s="491" t="s">
        <v>147</v>
      </c>
      <c r="C17" s="68">
        <v>7210</v>
      </c>
      <c r="D17" s="911">
        <v>120</v>
      </c>
      <c r="E17" s="911"/>
      <c r="F17" s="911">
        <v>120</v>
      </c>
      <c r="G17" s="911">
        <v>-5</v>
      </c>
      <c r="H17" s="910">
        <f t="shared" si="0"/>
        <v>235</v>
      </c>
    </row>
    <row r="18" spans="1:14" ht="15.75" thickBot="1">
      <c r="A18" s="340" t="s">
        <v>148</v>
      </c>
      <c r="B18" s="496" t="s">
        <v>1495</v>
      </c>
      <c r="C18" s="70">
        <v>7220</v>
      </c>
      <c r="D18" s="905">
        <f>D5+D6+D7+D8-D9-D10-D11+D12-D14+D15+D16+D17+D13</f>
        <v>387</v>
      </c>
      <c r="E18" s="905"/>
      <c r="F18" s="905">
        <f>F5+F6+F7+F8-F9-F10-F11+F12-F14+F15+F16+F17+F13</f>
        <v>390</v>
      </c>
      <c r="G18" s="905">
        <f>G5+G6+G7+G8-G9-G10-G11+G12-G14+G15+G16+G17+G13</f>
        <v>31</v>
      </c>
      <c r="H18" s="905">
        <f>SUM(D18:G18)</f>
        <v>808</v>
      </c>
    </row>
    <row r="19" spans="1:14" ht="15.75" thickBot="1">
      <c r="A19" s="279"/>
      <c r="B19" s="279"/>
      <c r="C19" s="279"/>
      <c r="D19" s="279"/>
      <c r="E19" s="279"/>
      <c r="F19" s="279"/>
      <c r="G19" s="279"/>
      <c r="H19" s="279"/>
    </row>
    <row r="20" spans="1:14" ht="15.75" thickBot="1">
      <c r="A20" s="496" t="s">
        <v>1219</v>
      </c>
      <c r="B20" s="497" t="s">
        <v>149</v>
      </c>
      <c r="C20" s="475">
        <v>7230</v>
      </c>
      <c r="D20" s="912">
        <v>85</v>
      </c>
      <c r="E20" s="912"/>
      <c r="F20" s="912">
        <v>65</v>
      </c>
      <c r="G20" s="912">
        <v>10</v>
      </c>
      <c r="H20" s="913">
        <f>SUM(D20:G20)</f>
        <v>160</v>
      </c>
    </row>
    <row r="21" spans="1:14" ht="15.75" thickBot="1">
      <c r="A21" s="498" t="s">
        <v>150</v>
      </c>
      <c r="B21" s="65" t="s">
        <v>1222</v>
      </c>
      <c r="C21" s="499">
        <v>7240</v>
      </c>
      <c r="D21" s="912">
        <v>35</v>
      </c>
      <c r="E21" s="912"/>
      <c r="F21" s="912">
        <v>0</v>
      </c>
      <c r="G21" s="912">
        <v>5</v>
      </c>
      <c r="H21" s="913">
        <f>SUM(D21:G21)</f>
        <v>40</v>
      </c>
    </row>
    <row r="24" spans="1:14" s="1134" customFormat="1" ht="16.5">
      <c r="A24" s="1139"/>
      <c r="B24" s="33"/>
      <c r="C24" s="37">
        <v>10</v>
      </c>
      <c r="D24" s="28" t="b">
        <f t="shared" ref="D24:D37" si="1">H5=SUM(D5:G5)</f>
        <v>1</v>
      </c>
      <c r="E24" s="38" t="s">
        <v>2723</v>
      </c>
      <c r="F24" s="1133"/>
      <c r="G24" s="1133"/>
      <c r="H24" s="1133"/>
      <c r="I24" s="1133"/>
      <c r="J24" s="1144"/>
      <c r="K24" s="1144"/>
      <c r="L24" s="1144"/>
      <c r="M24" s="1144"/>
      <c r="N24" s="1144"/>
    </row>
    <row r="25" spans="1:14" s="1134" customFormat="1" ht="16.5">
      <c r="A25" s="1139"/>
      <c r="B25" s="33"/>
      <c r="C25" s="37">
        <v>20</v>
      </c>
      <c r="D25" s="28" t="b">
        <f t="shared" si="1"/>
        <v>1</v>
      </c>
      <c r="E25" s="38" t="s">
        <v>2724</v>
      </c>
      <c r="F25" s="1133"/>
      <c r="G25" s="1133"/>
      <c r="H25" s="1133"/>
      <c r="I25" s="1133"/>
      <c r="J25" s="1144"/>
      <c r="K25" s="1144"/>
      <c r="L25" s="1144"/>
      <c r="M25" s="1144"/>
      <c r="N25" s="1144"/>
    </row>
    <row r="26" spans="1:14" s="1134" customFormat="1" ht="16.5">
      <c r="A26" s="1139"/>
      <c r="B26" s="33"/>
      <c r="C26" s="37">
        <v>30</v>
      </c>
      <c r="D26" s="28" t="b">
        <f t="shared" si="1"/>
        <v>1</v>
      </c>
      <c r="E26" s="38" t="s">
        <v>2725</v>
      </c>
      <c r="F26" s="1133"/>
      <c r="G26" s="1133"/>
      <c r="H26" s="1133"/>
      <c r="I26" s="1133"/>
      <c r="J26" s="1144"/>
      <c r="K26" s="1144"/>
      <c r="L26" s="1144"/>
      <c r="M26" s="1144"/>
      <c r="N26" s="1144"/>
    </row>
    <row r="27" spans="1:14" s="1134" customFormat="1" ht="16.5">
      <c r="A27" s="1139"/>
      <c r="B27" s="33"/>
      <c r="C27" s="37">
        <v>40</v>
      </c>
      <c r="D27" s="28" t="b">
        <f t="shared" si="1"/>
        <v>1</v>
      </c>
      <c r="E27" s="38" t="s">
        <v>2726</v>
      </c>
      <c r="F27" s="1133"/>
      <c r="G27" s="1133"/>
      <c r="H27" s="1133"/>
      <c r="I27" s="1133"/>
      <c r="J27" s="1144"/>
      <c r="K27" s="1144"/>
      <c r="L27" s="1144"/>
      <c r="M27" s="1144"/>
      <c r="N27" s="1144"/>
    </row>
    <row r="28" spans="1:14" s="1134" customFormat="1" ht="16.5">
      <c r="A28" s="1139"/>
      <c r="B28" s="33"/>
      <c r="C28" s="37">
        <v>50</v>
      </c>
      <c r="D28" s="28" t="b">
        <f t="shared" si="1"/>
        <v>1</v>
      </c>
      <c r="E28" s="38" t="s">
        <v>2727</v>
      </c>
      <c r="F28" s="1133"/>
      <c r="G28" s="1133"/>
      <c r="H28" s="1133"/>
      <c r="I28" s="1133"/>
      <c r="J28" s="1144"/>
      <c r="K28" s="1144"/>
      <c r="L28" s="1144"/>
      <c r="M28" s="1144"/>
      <c r="N28" s="1144"/>
    </row>
    <row r="29" spans="1:14" s="1134" customFormat="1" ht="16.5">
      <c r="A29" s="1139"/>
      <c r="B29" s="33"/>
      <c r="C29" s="37">
        <v>60</v>
      </c>
      <c r="D29" s="28" t="b">
        <f t="shared" si="1"/>
        <v>1</v>
      </c>
      <c r="E29" s="38" t="s">
        <v>2728</v>
      </c>
      <c r="F29" s="1133"/>
      <c r="G29" s="1133"/>
      <c r="H29" s="1133"/>
      <c r="I29" s="1133"/>
      <c r="J29" s="1144"/>
      <c r="K29" s="1144"/>
      <c r="L29" s="1144"/>
      <c r="M29" s="1144"/>
      <c r="N29" s="1144"/>
    </row>
    <row r="30" spans="1:14" s="1134" customFormat="1" ht="16.5">
      <c r="A30" s="1139"/>
      <c r="B30" s="33"/>
      <c r="C30" s="37">
        <v>70</v>
      </c>
      <c r="D30" s="28" t="b">
        <f t="shared" si="1"/>
        <v>1</v>
      </c>
      <c r="E30" s="38" t="s">
        <v>2729</v>
      </c>
      <c r="F30" s="1133"/>
      <c r="G30" s="1133"/>
      <c r="H30" s="1133"/>
      <c r="I30" s="1133"/>
      <c r="J30" s="1144"/>
      <c r="K30" s="1144"/>
      <c r="L30" s="1144"/>
      <c r="M30" s="1144"/>
      <c r="N30" s="1144"/>
    </row>
    <row r="31" spans="1:14" s="1134" customFormat="1" ht="16.5">
      <c r="A31" s="1139"/>
      <c r="B31" s="33"/>
      <c r="C31" s="37">
        <v>80</v>
      </c>
      <c r="D31" s="28" t="b">
        <f t="shared" si="1"/>
        <v>1</v>
      </c>
      <c r="E31" s="38" t="s">
        <v>2730</v>
      </c>
      <c r="F31" s="1133"/>
      <c r="G31" s="1133"/>
      <c r="H31" s="1133"/>
      <c r="I31" s="1133"/>
      <c r="J31" s="1144"/>
      <c r="K31" s="1144"/>
      <c r="L31" s="1144"/>
      <c r="M31" s="1144"/>
      <c r="N31" s="1144"/>
    </row>
    <row r="32" spans="1:14" s="1134" customFormat="1" ht="16.5">
      <c r="A32" s="1139"/>
      <c r="B32" s="33"/>
      <c r="C32" s="37">
        <v>90</v>
      </c>
      <c r="D32" s="28" t="b">
        <f t="shared" si="1"/>
        <v>1</v>
      </c>
      <c r="E32" s="38" t="s">
        <v>2731</v>
      </c>
      <c r="F32" s="1133"/>
      <c r="G32" s="1133"/>
      <c r="H32" s="1133"/>
      <c r="I32" s="1133"/>
      <c r="J32" s="1144"/>
      <c r="K32" s="1144"/>
      <c r="L32" s="1144"/>
      <c r="M32" s="1144"/>
      <c r="N32" s="1144"/>
    </row>
    <row r="33" spans="1:19" s="1134" customFormat="1" ht="16.5">
      <c r="A33" s="1139"/>
      <c r="B33" s="33"/>
      <c r="C33" s="37">
        <v>100</v>
      </c>
      <c r="D33" s="28" t="b">
        <f t="shared" si="1"/>
        <v>1</v>
      </c>
      <c r="E33" s="38" t="s">
        <v>2732</v>
      </c>
      <c r="F33" s="1133"/>
      <c r="G33" s="1133"/>
      <c r="H33" s="1133"/>
      <c r="I33" s="1133"/>
      <c r="J33" s="1144"/>
      <c r="K33" s="1144"/>
      <c r="L33" s="1144"/>
      <c r="M33" s="1144"/>
      <c r="N33" s="1144"/>
    </row>
    <row r="34" spans="1:19" s="1134" customFormat="1" ht="16.5">
      <c r="A34" s="1139"/>
      <c r="B34" s="33"/>
      <c r="C34" s="37">
        <v>110</v>
      </c>
      <c r="D34" s="28" t="b">
        <f t="shared" si="1"/>
        <v>1</v>
      </c>
      <c r="E34" s="38" t="s">
        <v>2733</v>
      </c>
      <c r="F34" s="1133"/>
      <c r="G34" s="1133"/>
      <c r="H34" s="1133"/>
      <c r="I34" s="1133"/>
      <c r="J34" s="1144"/>
      <c r="K34" s="1144"/>
      <c r="L34" s="1144"/>
      <c r="M34" s="1144"/>
      <c r="N34" s="1144"/>
    </row>
    <row r="35" spans="1:19" s="1134" customFormat="1" ht="16.5">
      <c r="A35" s="1139"/>
      <c r="B35" s="33"/>
      <c r="C35" s="37">
        <v>120</v>
      </c>
      <c r="D35" s="28" t="b">
        <f t="shared" si="1"/>
        <v>1</v>
      </c>
      <c r="E35" s="38" t="s">
        <v>2734</v>
      </c>
      <c r="F35" s="1133"/>
      <c r="G35" s="1133"/>
      <c r="H35" s="1133"/>
      <c r="I35" s="1133"/>
      <c r="J35" s="1144"/>
      <c r="K35" s="1144"/>
      <c r="L35" s="1144"/>
      <c r="M35" s="1144"/>
      <c r="N35" s="1144"/>
    </row>
    <row r="36" spans="1:19" s="1134" customFormat="1" ht="16.5">
      <c r="A36" s="1139"/>
      <c r="B36" s="33"/>
      <c r="C36" s="37">
        <v>130</v>
      </c>
      <c r="D36" s="28" t="b">
        <f t="shared" si="1"/>
        <v>1</v>
      </c>
      <c r="E36" s="38" t="s">
        <v>2735</v>
      </c>
      <c r="F36" s="1133"/>
      <c r="G36" s="1133"/>
      <c r="H36" s="1133"/>
      <c r="I36" s="1133"/>
      <c r="J36" s="1144"/>
      <c r="K36" s="1144"/>
      <c r="L36" s="1144"/>
      <c r="M36" s="1144"/>
      <c r="N36" s="1144"/>
    </row>
    <row r="37" spans="1:19" s="1134" customFormat="1" ht="16.5">
      <c r="A37" s="1139"/>
      <c r="B37" s="33"/>
      <c r="C37" s="37">
        <v>140</v>
      </c>
      <c r="D37" s="28" t="b">
        <f t="shared" si="1"/>
        <v>1</v>
      </c>
      <c r="E37" s="38" t="s">
        <v>2736</v>
      </c>
      <c r="F37" s="1133"/>
      <c r="G37" s="1133"/>
      <c r="H37" s="1133"/>
      <c r="I37" s="1133"/>
      <c r="J37" s="1133"/>
      <c r="K37" s="1133"/>
      <c r="L37" s="1133"/>
      <c r="M37" s="1133"/>
      <c r="N37" s="1144"/>
    </row>
    <row r="38" spans="1:19" s="1134" customFormat="1" ht="16.5">
      <c r="A38" s="1139"/>
      <c r="B38" s="33"/>
      <c r="C38" s="37">
        <v>150</v>
      </c>
      <c r="D38" s="28" t="b">
        <f>H20=SUM(D20:G20)</f>
        <v>1</v>
      </c>
      <c r="E38" s="38" t="s">
        <v>2737</v>
      </c>
      <c r="F38" s="1133"/>
      <c r="G38" s="1133"/>
      <c r="H38" s="1133"/>
      <c r="I38" s="1133"/>
      <c r="J38" s="1133"/>
      <c r="K38" s="1133"/>
      <c r="L38" s="1133"/>
      <c r="M38" s="1133"/>
      <c r="N38" s="1144"/>
    </row>
    <row r="39" spans="1:19" s="1134" customFormat="1" ht="16.5">
      <c r="A39" s="1139"/>
      <c r="B39" s="33"/>
      <c r="C39" s="37">
        <v>160</v>
      </c>
      <c r="D39" s="28" t="b">
        <f>H21=SUM(D21:G21)</f>
        <v>1</v>
      </c>
      <c r="E39" s="38" t="s">
        <v>2738</v>
      </c>
      <c r="F39" s="1133"/>
      <c r="G39" s="1133"/>
      <c r="H39" s="1133"/>
      <c r="I39" s="1133"/>
      <c r="J39" s="1133"/>
      <c r="K39" s="1133"/>
      <c r="L39" s="1133"/>
      <c r="M39" s="1133"/>
      <c r="N39" s="1144"/>
    </row>
    <row r="40" spans="1:19" s="1134" customFormat="1" ht="16.5">
      <c r="A40" s="1178"/>
      <c r="B40" s="33"/>
      <c r="C40" s="37">
        <v>170</v>
      </c>
      <c r="D40" s="28" t="b">
        <f>D18=D5+D6+D7+D8-D9-D10-D11+D12+D13-D14+D15+D16+D17</f>
        <v>1</v>
      </c>
      <c r="E40" s="38" t="s">
        <v>2739</v>
      </c>
      <c r="F40" s="1133"/>
      <c r="G40" s="1133"/>
      <c r="H40" s="1133"/>
      <c r="I40" s="1133"/>
      <c r="J40" s="1180"/>
      <c r="K40" s="1180"/>
      <c r="L40" s="1180"/>
      <c r="M40" s="1180"/>
      <c r="N40" s="1180"/>
      <c r="O40" s="1180"/>
      <c r="P40" s="1180"/>
      <c r="Q40" s="1180"/>
      <c r="R40" s="1180"/>
      <c r="S40" s="1180"/>
    </row>
    <row r="41" spans="1:19" s="1134" customFormat="1" ht="16.5">
      <c r="A41" s="1139"/>
      <c r="B41" s="33"/>
      <c r="C41" s="37">
        <v>180</v>
      </c>
      <c r="D41" s="28" t="b">
        <f>E18=E5+E6+E7+E8-E9-E10-E11+E12+E13-E14+E15+E16+E17</f>
        <v>1</v>
      </c>
      <c r="E41" s="38" t="s">
        <v>1306</v>
      </c>
      <c r="F41" s="1133"/>
      <c r="G41" s="1133"/>
      <c r="H41" s="1133"/>
      <c r="I41" s="1133"/>
      <c r="J41" s="1144"/>
      <c r="K41" s="1144"/>
      <c r="L41" s="1144"/>
      <c r="M41" s="1144"/>
      <c r="N41" s="1144"/>
    </row>
    <row r="42" spans="1:19" s="1134" customFormat="1" ht="16.5">
      <c r="A42" s="1139"/>
      <c r="B42" s="33"/>
      <c r="C42" s="37">
        <v>190</v>
      </c>
      <c r="D42" s="28" t="b">
        <f>F18=F5+F6+F7+F8-F9-F10-F11+F12+F13-F14+F15+F16+F17</f>
        <v>1</v>
      </c>
      <c r="E42" s="38" t="s">
        <v>1307</v>
      </c>
      <c r="F42" s="1133"/>
      <c r="G42" s="1133"/>
      <c r="H42" s="1133"/>
      <c r="I42" s="1133"/>
      <c r="J42" s="1144"/>
      <c r="K42" s="1144"/>
      <c r="L42" s="1144"/>
      <c r="M42" s="1144"/>
      <c r="N42" s="1144"/>
    </row>
    <row r="43" spans="1:19" s="1134" customFormat="1" ht="16.5">
      <c r="A43" s="1139"/>
      <c r="B43" s="33"/>
      <c r="C43" s="37">
        <v>200</v>
      </c>
      <c r="D43" s="28" t="b">
        <f>G18=G5+G6+G7+G8-G9-G10-G11+G12+G13-G14+G15+G16+G17</f>
        <v>1</v>
      </c>
      <c r="E43" s="38" t="s">
        <v>1308</v>
      </c>
      <c r="F43" s="1133"/>
      <c r="G43" s="1133"/>
      <c r="H43" s="1133"/>
      <c r="I43" s="1133"/>
      <c r="J43" s="1144"/>
      <c r="K43" s="1144"/>
      <c r="L43" s="1144"/>
      <c r="M43" s="1144"/>
      <c r="N43" s="1144"/>
    </row>
    <row r="44" spans="1:19" s="1134" customFormat="1" ht="16.5">
      <c r="A44" s="1139"/>
      <c r="B44" s="33"/>
      <c r="C44" s="37">
        <v>210</v>
      </c>
      <c r="D44" s="28" t="b">
        <f>H18=H5+H6+H7+H8-H9-H10-H11+H12+H13-H14+H15+H16+H17</f>
        <v>1</v>
      </c>
      <c r="E44" s="38" t="s">
        <v>1309</v>
      </c>
      <c r="F44" s="1133"/>
      <c r="G44" s="1133"/>
      <c r="H44" s="1133"/>
      <c r="I44" s="1133"/>
      <c r="J44" s="1180"/>
      <c r="K44" s="1180"/>
      <c r="L44" s="1180"/>
      <c r="M44" s="1180"/>
      <c r="N44" s="1180"/>
    </row>
    <row r="45" spans="1:19" s="1134" customFormat="1" ht="13.5">
      <c r="A45" s="1139"/>
      <c r="B45" s="37"/>
      <c r="C45" s="37">
        <v>220</v>
      </c>
      <c r="D45" s="28" t="b">
        <f>'2.0'!E57='15.a'!H11+'15.b'!I12</f>
        <v>1</v>
      </c>
      <c r="E45" s="29" t="s">
        <v>1310</v>
      </c>
    </row>
    <row r="46" spans="1:19" s="1134" customFormat="1" ht="13.5">
      <c r="C46" s="1139"/>
      <c r="D46" s="1139"/>
    </row>
    <row r="47" spans="1:19" s="1134" customFormat="1" ht="13.5"/>
    <row r="48" spans="1:19" s="1134" customFormat="1" ht="13.5"/>
    <row r="49" s="1134" customFormat="1" ht="13.5"/>
  </sheetData>
  <customSheetViews>
    <customSheetView guid="{5D819D0C-25F7-408A-B978-F4F86F7655CA}" showPageBreaks="1" showRuler="0" topLeftCell="A4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5" right="0.21" top="1" bottom="1" header="0.5" footer="0.5"/>
  <pageSetup paperSize="8" scale="110" orientation="portrait" r:id="rId4"/>
  <headerFooter alignWithMargins="0">
    <oddHeader xml:space="preserve">&amp;C15.A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Normal="100" workbookViewId="0"/>
  </sheetViews>
  <sheetFormatPr defaultRowHeight="12.75"/>
  <cols>
    <col min="1" max="1" width="39.140625" customWidth="1"/>
    <col min="2" max="2" width="21.140625" bestFit="1" customWidth="1"/>
    <col min="3" max="3" width="10.42578125" customWidth="1"/>
    <col min="4" max="4" width="11.28515625" bestFit="1" customWidth="1"/>
    <col min="6" max="6" width="7.85546875" customWidth="1"/>
    <col min="7" max="7" width="8.42578125" customWidth="1"/>
    <col min="8" max="8" width="8.5703125" customWidth="1"/>
    <col min="9" max="9" width="8.42578125" customWidth="1"/>
    <col min="19" max="19" width="57.28515625" customWidth="1"/>
    <col min="20" max="20" width="80.7109375" customWidth="1"/>
  </cols>
  <sheetData>
    <row r="1" spans="1:9" ht="16.5" thickBot="1">
      <c r="A1" s="477" t="s">
        <v>2141</v>
      </c>
      <c r="B1" s="279"/>
      <c r="C1" s="279"/>
      <c r="D1" s="279"/>
      <c r="E1" s="279"/>
      <c r="F1" s="279"/>
      <c r="G1" s="279"/>
      <c r="H1" s="279"/>
      <c r="I1" s="279"/>
    </row>
    <row r="2" spans="1:9" ht="153" customHeight="1" thickBot="1">
      <c r="A2" s="277" t="s">
        <v>260</v>
      </c>
      <c r="B2" s="271" t="s">
        <v>137</v>
      </c>
      <c r="C2" s="381"/>
      <c r="D2" s="271" t="s">
        <v>116</v>
      </c>
      <c r="E2" s="271" t="s">
        <v>1489</v>
      </c>
      <c r="F2" s="271" t="s">
        <v>1490</v>
      </c>
      <c r="G2" s="271" t="s">
        <v>1491</v>
      </c>
      <c r="H2" s="271" t="s">
        <v>481</v>
      </c>
      <c r="I2" s="271" t="s">
        <v>2204</v>
      </c>
    </row>
    <row r="3" spans="1:9" s="510" customFormat="1" ht="30.75" thickBot="1">
      <c r="A3" s="514" t="s">
        <v>1129</v>
      </c>
      <c r="B3" s="515"/>
      <c r="C3" s="515"/>
      <c r="D3" s="516" t="s">
        <v>2143</v>
      </c>
      <c r="E3" s="516" t="s">
        <v>2144</v>
      </c>
      <c r="F3" s="516" t="s">
        <v>2145</v>
      </c>
      <c r="G3" s="516" t="s">
        <v>1494</v>
      </c>
      <c r="H3" s="516" t="s">
        <v>740</v>
      </c>
      <c r="I3" s="443"/>
    </row>
    <row r="4" spans="1:9" ht="15.75" thickBot="1">
      <c r="A4" s="358"/>
      <c r="B4" s="500"/>
      <c r="C4" s="306" t="s">
        <v>1135</v>
      </c>
      <c r="D4" s="490" t="s">
        <v>1013</v>
      </c>
      <c r="E4" s="490" t="s">
        <v>1014</v>
      </c>
      <c r="F4" s="490" t="s">
        <v>1015</v>
      </c>
      <c r="G4" s="490" t="s">
        <v>1016</v>
      </c>
      <c r="H4" s="490" t="s">
        <v>525</v>
      </c>
      <c r="I4" s="490" t="s">
        <v>526</v>
      </c>
    </row>
    <row r="5" spans="1:9" ht="15.75" thickBot="1">
      <c r="A5" s="501" t="s">
        <v>1485</v>
      </c>
      <c r="B5" s="502" t="s">
        <v>261</v>
      </c>
      <c r="C5" s="66">
        <v>7100</v>
      </c>
      <c r="D5" s="914">
        <v>70</v>
      </c>
      <c r="E5" s="914"/>
      <c r="F5" s="914">
        <v>80</v>
      </c>
      <c r="G5" s="914"/>
      <c r="H5" s="914">
        <v>40</v>
      </c>
      <c r="I5" s="880">
        <f>SUM(D5:H5)</f>
        <v>190</v>
      </c>
    </row>
    <row r="6" spans="1:9" ht="15.75" thickBot="1">
      <c r="A6" s="492" t="s">
        <v>1496</v>
      </c>
      <c r="B6" s="493" t="s">
        <v>1497</v>
      </c>
      <c r="C6" s="68">
        <v>7110</v>
      </c>
      <c r="D6" s="915"/>
      <c r="E6" s="879"/>
      <c r="F6" s="879">
        <v>20</v>
      </c>
      <c r="G6" s="879"/>
      <c r="H6" s="879">
        <v>10</v>
      </c>
      <c r="I6" s="880">
        <f>SUM(D6:H6)</f>
        <v>30</v>
      </c>
    </row>
    <row r="7" spans="1:9" ht="30.75" thickBot="1">
      <c r="A7" s="494" t="s">
        <v>1813</v>
      </c>
      <c r="B7" s="502" t="s">
        <v>262</v>
      </c>
      <c r="C7" s="68">
        <v>7120</v>
      </c>
      <c r="D7" s="879">
        <v>45</v>
      </c>
      <c r="E7" s="879"/>
      <c r="F7" s="879">
        <v>20</v>
      </c>
      <c r="G7" s="879"/>
      <c r="H7" s="879">
        <v>10</v>
      </c>
      <c r="I7" s="880">
        <f t="shared" ref="I7:I12" si="0">SUM(D7:H7)</f>
        <v>75</v>
      </c>
    </row>
    <row r="8" spans="1:9" ht="15.75" thickBot="1">
      <c r="A8" s="494" t="s">
        <v>1814</v>
      </c>
      <c r="B8" s="496" t="s">
        <v>1497</v>
      </c>
      <c r="C8" s="68">
        <v>7130</v>
      </c>
      <c r="D8" s="916"/>
      <c r="E8" s="879"/>
      <c r="F8" s="879">
        <v>-27</v>
      </c>
      <c r="G8" s="879"/>
      <c r="H8" s="879">
        <v>-9</v>
      </c>
      <c r="I8" s="880">
        <f t="shared" si="0"/>
        <v>-36</v>
      </c>
    </row>
    <row r="9" spans="1:9" ht="30.75" thickBot="1">
      <c r="A9" s="494" t="s">
        <v>1815</v>
      </c>
      <c r="B9" s="496" t="s">
        <v>263</v>
      </c>
      <c r="C9" s="68">
        <v>7140</v>
      </c>
      <c r="D9" s="879">
        <v>10</v>
      </c>
      <c r="E9" s="879"/>
      <c r="F9" s="879">
        <v>20</v>
      </c>
      <c r="G9" s="879"/>
      <c r="H9" s="879">
        <v>10</v>
      </c>
      <c r="I9" s="880">
        <f t="shared" si="0"/>
        <v>40</v>
      </c>
    </row>
    <row r="10" spans="1:9" ht="30.75" thickBot="1">
      <c r="A10" s="492" t="s">
        <v>1510</v>
      </c>
      <c r="B10" s="493" t="s">
        <v>263</v>
      </c>
      <c r="C10" s="68">
        <v>7150</v>
      </c>
      <c r="D10" s="879">
        <v>10</v>
      </c>
      <c r="E10" s="879"/>
      <c r="F10" s="879">
        <v>20</v>
      </c>
      <c r="G10" s="879"/>
      <c r="H10" s="879">
        <v>10</v>
      </c>
      <c r="I10" s="880">
        <f t="shared" si="0"/>
        <v>40</v>
      </c>
    </row>
    <row r="11" spans="1:9" ht="30.75" thickBot="1">
      <c r="A11" s="441" t="s">
        <v>252</v>
      </c>
      <c r="B11" s="461" t="s">
        <v>253</v>
      </c>
      <c r="C11" s="68">
        <v>7160</v>
      </c>
      <c r="D11" s="879">
        <v>10</v>
      </c>
      <c r="E11" s="915"/>
      <c r="F11" s="915"/>
      <c r="G11" s="915"/>
      <c r="H11" s="915"/>
      <c r="I11" s="880">
        <f>D11</f>
        <v>10</v>
      </c>
    </row>
    <row r="12" spans="1:9" ht="15.75" thickBot="1">
      <c r="A12" s="441" t="s">
        <v>1818</v>
      </c>
      <c r="B12" s="461" t="s">
        <v>1819</v>
      </c>
      <c r="C12" s="68">
        <v>7170</v>
      </c>
      <c r="D12" s="915"/>
      <c r="E12" s="879"/>
      <c r="F12" s="879">
        <v>6</v>
      </c>
      <c r="G12" s="879"/>
      <c r="H12" s="879">
        <v>3</v>
      </c>
      <c r="I12" s="880">
        <f t="shared" si="0"/>
        <v>9</v>
      </c>
    </row>
    <row r="13" spans="1:9" ht="45.75" thickBot="1">
      <c r="A13" s="441" t="s">
        <v>1622</v>
      </c>
      <c r="B13" s="461" t="s">
        <v>1623</v>
      </c>
      <c r="C13" s="68">
        <v>7180</v>
      </c>
      <c r="D13" s="504"/>
      <c r="E13" s="504"/>
      <c r="F13" s="504"/>
      <c r="G13" s="504"/>
      <c r="H13" s="504"/>
      <c r="I13" s="504"/>
    </row>
    <row r="14" spans="1:9" ht="30.75" thickBot="1">
      <c r="A14" s="494" t="s">
        <v>1624</v>
      </c>
      <c r="B14" s="502" t="s">
        <v>264</v>
      </c>
      <c r="C14" s="68">
        <v>7190</v>
      </c>
      <c r="D14" s="879">
        <v>12</v>
      </c>
      <c r="E14" s="879"/>
      <c r="F14" s="879">
        <v>14</v>
      </c>
      <c r="G14" s="879"/>
      <c r="H14" s="879">
        <v>7</v>
      </c>
      <c r="I14" s="880">
        <f>SUM(D14:H14)</f>
        <v>33</v>
      </c>
    </row>
    <row r="15" spans="1:9" ht="15.75" thickBot="1">
      <c r="A15" s="494" t="s">
        <v>1636</v>
      </c>
      <c r="B15" s="496" t="s">
        <v>1637</v>
      </c>
      <c r="C15" s="68">
        <v>7200</v>
      </c>
      <c r="D15" s="915"/>
      <c r="E15" s="879"/>
      <c r="F15" s="879">
        <v>20</v>
      </c>
      <c r="G15" s="879"/>
      <c r="H15" s="879">
        <v>10</v>
      </c>
      <c r="I15" s="880">
        <f>SUM(D15:H15)</f>
        <v>30</v>
      </c>
    </row>
    <row r="16" spans="1:9" ht="30.75" thickBot="1">
      <c r="A16" s="494" t="s">
        <v>1208</v>
      </c>
      <c r="B16" s="502" t="s">
        <v>265</v>
      </c>
      <c r="C16" s="68">
        <v>7210</v>
      </c>
      <c r="D16" s="879">
        <v>10</v>
      </c>
      <c r="E16" s="879"/>
      <c r="F16" s="879">
        <v>10</v>
      </c>
      <c r="G16" s="879"/>
      <c r="H16" s="879">
        <v>5</v>
      </c>
      <c r="I16" s="880">
        <f>SUM(D16:H16)</f>
        <v>25</v>
      </c>
    </row>
    <row r="17" spans="1:14" ht="30.75" thickBot="1">
      <c r="A17" s="494" t="s">
        <v>146</v>
      </c>
      <c r="B17" s="496" t="s">
        <v>266</v>
      </c>
      <c r="C17" s="68">
        <v>7220</v>
      </c>
      <c r="D17" s="879">
        <v>5</v>
      </c>
      <c r="E17" s="879"/>
      <c r="F17" s="879">
        <v>-10</v>
      </c>
      <c r="G17" s="879"/>
      <c r="H17" s="879">
        <v>-5</v>
      </c>
      <c r="I17" s="880">
        <f>SUM(D17:H17)</f>
        <v>-10</v>
      </c>
    </row>
    <row r="18" spans="1:14" ht="15.75" thickBot="1">
      <c r="A18" s="311" t="s">
        <v>148</v>
      </c>
      <c r="B18" s="502" t="s">
        <v>261</v>
      </c>
      <c r="C18" s="68">
        <v>7230</v>
      </c>
      <c r="D18" s="917">
        <f>D5+D7-D9-D10+D11-D14+D16+D17</f>
        <v>108</v>
      </c>
      <c r="E18" s="917">
        <f>E5+E6+E7+E8-E9-E10-E12+E13-E14+E15+E16+E17</f>
        <v>0</v>
      </c>
      <c r="F18" s="917">
        <f>F5+F6+F7+F8-F9-F10-F12+F13-F14+F15+F16+F17</f>
        <v>53</v>
      </c>
      <c r="G18" s="917">
        <f>G5+G6+G7+G8-G9-G10-G12+G13-G14+G15+G16+G17</f>
        <v>0</v>
      </c>
      <c r="H18" s="917">
        <f>H5+H6+H7+H8-H9-H10-H12+H13-H14+H15+H16+H17</f>
        <v>31</v>
      </c>
      <c r="I18" s="917">
        <f>SUM(D18:H18)</f>
        <v>192</v>
      </c>
    </row>
    <row r="19" spans="1:14" ht="15.75" thickBot="1">
      <c r="A19" s="469" t="s">
        <v>254</v>
      </c>
      <c r="B19" s="493" t="s">
        <v>255</v>
      </c>
      <c r="C19" s="68">
        <v>7240</v>
      </c>
      <c r="D19" s="879">
        <v>115</v>
      </c>
      <c r="E19" s="505"/>
      <c r="F19" s="505"/>
      <c r="G19" s="505"/>
      <c r="H19" s="505"/>
      <c r="I19" s="505"/>
    </row>
    <row r="20" spans="1:14" ht="15.75" thickBot="1">
      <c r="A20" s="468" t="s">
        <v>256</v>
      </c>
      <c r="B20" s="461" t="s">
        <v>257</v>
      </c>
      <c r="C20" s="68">
        <v>7250</v>
      </c>
      <c r="D20" s="879">
        <v>128</v>
      </c>
      <c r="E20" s="505"/>
      <c r="F20" s="505"/>
      <c r="G20" s="505"/>
      <c r="H20" s="505"/>
      <c r="I20" s="505"/>
    </row>
    <row r="21" spans="1:14" ht="15.75" thickBot="1">
      <c r="A21" s="468" t="s">
        <v>258</v>
      </c>
      <c r="B21" s="461" t="s">
        <v>257</v>
      </c>
      <c r="C21" s="70">
        <v>7260</v>
      </c>
      <c r="D21" s="879">
        <v>20</v>
      </c>
      <c r="E21" s="505"/>
      <c r="F21" s="505"/>
      <c r="G21" s="505"/>
      <c r="H21" s="505"/>
      <c r="I21" s="505"/>
    </row>
    <row r="22" spans="1:14" ht="15.75" thickBot="1">
      <c r="A22" s="279"/>
      <c r="B22" s="279"/>
      <c r="C22" s="506"/>
      <c r="D22" s="279"/>
      <c r="E22" s="279"/>
      <c r="F22" s="279"/>
      <c r="G22" s="279"/>
      <c r="H22" s="279"/>
      <c r="I22" s="279"/>
    </row>
    <row r="23" spans="1:14" ht="15.75" thickBot="1">
      <c r="A23" s="469" t="s">
        <v>1219</v>
      </c>
      <c r="B23" s="425" t="s">
        <v>149</v>
      </c>
      <c r="C23" s="507">
        <v>7270</v>
      </c>
      <c r="D23" s="503"/>
      <c r="E23" s="918">
        <v>0</v>
      </c>
      <c r="F23" s="918">
        <v>15</v>
      </c>
      <c r="G23" s="918">
        <v>0</v>
      </c>
      <c r="H23" s="918">
        <v>10</v>
      </c>
      <c r="I23" s="917">
        <f>SUM(E23:H23)</f>
        <v>25</v>
      </c>
    </row>
    <row r="24" spans="1:14" ht="13.5" customHeight="1" thickBot="1">
      <c r="A24" s="468" t="s">
        <v>259</v>
      </c>
      <c r="B24" s="417" t="s">
        <v>1222</v>
      </c>
      <c r="C24" s="320">
        <v>7280</v>
      </c>
      <c r="D24" s="504"/>
      <c r="E24" s="918">
        <v>0</v>
      </c>
      <c r="F24" s="918">
        <v>0</v>
      </c>
      <c r="G24" s="918">
        <v>0</v>
      </c>
      <c r="H24" s="918">
        <v>5</v>
      </c>
      <c r="I24" s="917">
        <f>SUM(E24:H24)</f>
        <v>5</v>
      </c>
    </row>
    <row r="25" spans="1:14" ht="15.75" thickBot="1">
      <c r="A25" s="279"/>
      <c r="B25" s="279"/>
      <c r="C25" s="279"/>
      <c r="D25" s="279"/>
      <c r="E25" s="279"/>
      <c r="F25" s="279"/>
      <c r="G25" s="279"/>
      <c r="H25" s="279"/>
      <c r="I25" s="279"/>
      <c r="K25" s="10"/>
    </row>
    <row r="26" spans="1:14" ht="15.75" thickBot="1">
      <c r="A26" s="508" t="s">
        <v>428</v>
      </c>
      <c r="B26" s="303"/>
      <c r="C26" s="61">
        <v>7299</v>
      </c>
      <c r="D26" s="303"/>
      <c r="E26" s="303"/>
      <c r="F26" s="303"/>
      <c r="G26" s="303"/>
      <c r="H26" s="303"/>
      <c r="I26" s="870">
        <f>I18+'15.a'!H18</f>
        <v>1000</v>
      </c>
    </row>
    <row r="30" spans="1:14" s="12" customFormat="1" ht="15.75">
      <c r="A30" s="41"/>
      <c r="B30" s="1105"/>
      <c r="C30" s="37">
        <v>230</v>
      </c>
      <c r="D30" s="28" t="b">
        <f>I5=SUM(D5:H5)</f>
        <v>1</v>
      </c>
      <c r="E30" s="38" t="s">
        <v>1311</v>
      </c>
      <c r="F30" s="39"/>
      <c r="G30" s="39"/>
      <c r="H30" s="39"/>
      <c r="I30" s="39"/>
      <c r="J30" s="47"/>
      <c r="K30" s="47"/>
      <c r="L30" s="47"/>
      <c r="M30" s="47"/>
      <c r="N30" s="47"/>
    </row>
    <row r="31" spans="1:14" s="12" customFormat="1" ht="15.75">
      <c r="A31" s="41"/>
      <c r="B31" s="1105"/>
      <c r="C31" s="37">
        <v>20</v>
      </c>
      <c r="D31" s="28" t="b">
        <f>I6=SUM(E6:H6)</f>
        <v>1</v>
      </c>
      <c r="E31" s="38" t="s">
        <v>1312</v>
      </c>
      <c r="F31" s="39"/>
      <c r="G31" s="39"/>
      <c r="H31" s="39"/>
      <c r="I31" s="39"/>
      <c r="J31" s="47"/>
      <c r="K31" s="47"/>
      <c r="L31" s="47"/>
      <c r="M31" s="47"/>
      <c r="N31" s="47"/>
    </row>
    <row r="32" spans="1:14" s="12" customFormat="1" ht="15.75">
      <c r="A32" s="41"/>
      <c r="B32" s="1105"/>
      <c r="C32" s="37">
        <v>30</v>
      </c>
      <c r="D32" s="28" t="b">
        <f>I7=SUM(D7:H7)</f>
        <v>1</v>
      </c>
      <c r="E32" s="38" t="s">
        <v>1313</v>
      </c>
      <c r="F32" s="39"/>
      <c r="G32" s="39"/>
      <c r="H32" s="39"/>
      <c r="I32" s="39"/>
      <c r="J32" s="47"/>
      <c r="K32" s="47"/>
      <c r="L32" s="47"/>
      <c r="M32" s="47"/>
      <c r="N32" s="47"/>
    </row>
    <row r="33" spans="1:14" s="12" customFormat="1" ht="15.75">
      <c r="A33" s="41"/>
      <c r="B33" s="1105"/>
      <c r="C33" s="37">
        <v>40</v>
      </c>
      <c r="D33" s="28" t="b">
        <f>I8=SUM(E8:H8)</f>
        <v>1</v>
      </c>
      <c r="E33" s="38" t="s">
        <v>1314</v>
      </c>
      <c r="F33" s="39"/>
      <c r="G33" s="39"/>
      <c r="H33" s="39"/>
      <c r="I33" s="39"/>
      <c r="J33" s="47"/>
      <c r="K33" s="47"/>
      <c r="L33" s="47"/>
      <c r="M33" s="47"/>
      <c r="N33" s="47"/>
    </row>
    <row r="34" spans="1:14" s="12" customFormat="1" ht="15.75">
      <c r="A34" s="41"/>
      <c r="B34" s="1105"/>
      <c r="C34" s="37">
        <v>50</v>
      </c>
      <c r="D34" s="28" t="b">
        <f>I9=SUM(D9:H9)</f>
        <v>1</v>
      </c>
      <c r="E34" s="38" t="s">
        <v>1315</v>
      </c>
      <c r="F34" s="39"/>
      <c r="G34" s="39"/>
      <c r="H34" s="39"/>
      <c r="I34" s="39"/>
      <c r="J34" s="47"/>
      <c r="K34" s="47"/>
      <c r="L34" s="47"/>
      <c r="M34" s="47"/>
      <c r="N34" s="47"/>
    </row>
    <row r="35" spans="1:14" s="12" customFormat="1" ht="15.75">
      <c r="A35" s="41"/>
      <c r="B35" s="1105"/>
      <c r="C35" s="37">
        <v>60</v>
      </c>
      <c r="D35" s="28" t="b">
        <f>I10=SUM(D10:H10)</f>
        <v>1</v>
      </c>
      <c r="E35" s="38" t="s">
        <v>1316</v>
      </c>
      <c r="F35" s="39"/>
      <c r="G35" s="39"/>
      <c r="H35" s="39"/>
      <c r="I35" s="39"/>
      <c r="J35" s="47"/>
      <c r="K35" s="47"/>
      <c r="L35" s="47"/>
      <c r="M35" s="47"/>
      <c r="N35" s="47"/>
    </row>
    <row r="36" spans="1:14" s="12" customFormat="1" ht="15.75">
      <c r="A36" s="41"/>
      <c r="B36" s="1105"/>
      <c r="C36" s="37">
        <v>290</v>
      </c>
      <c r="D36" s="28" t="b">
        <f>I11=D11</f>
        <v>1</v>
      </c>
      <c r="E36" s="38" t="s">
        <v>1317</v>
      </c>
      <c r="F36" s="39"/>
      <c r="G36" s="39"/>
      <c r="H36" s="39"/>
      <c r="I36" s="39"/>
      <c r="J36" s="47"/>
      <c r="K36" s="47"/>
      <c r="L36" s="47"/>
      <c r="M36" s="47"/>
      <c r="N36" s="47"/>
    </row>
    <row r="37" spans="1:14" s="12" customFormat="1" ht="15.75">
      <c r="A37" s="41"/>
      <c r="B37" s="1105"/>
      <c r="C37" s="37">
        <v>70</v>
      </c>
      <c r="D37" s="28" t="b">
        <f>I12=SUM(E12:H12)</f>
        <v>1</v>
      </c>
      <c r="E37" s="38" t="s">
        <v>1318</v>
      </c>
      <c r="F37" s="39"/>
      <c r="G37" s="39"/>
      <c r="H37" s="39"/>
      <c r="I37" s="39"/>
      <c r="J37" s="47"/>
      <c r="K37" s="47"/>
      <c r="L37" s="47"/>
      <c r="M37" s="47"/>
      <c r="N37" s="47"/>
    </row>
    <row r="38" spans="1:14" s="12" customFormat="1" ht="15.75">
      <c r="A38" s="19"/>
      <c r="B38" s="1105"/>
      <c r="C38" s="37">
        <v>80</v>
      </c>
      <c r="D38" s="1114"/>
      <c r="E38" s="38"/>
      <c r="F38" s="39"/>
      <c r="G38" s="39"/>
      <c r="H38" s="39"/>
      <c r="I38" s="39"/>
      <c r="J38" s="47"/>
      <c r="K38" s="47"/>
      <c r="L38" s="47"/>
      <c r="M38" s="47"/>
      <c r="N38" s="47"/>
    </row>
    <row r="39" spans="1:14" s="12" customFormat="1" ht="15.75">
      <c r="A39" s="41"/>
      <c r="B39" s="1105"/>
      <c r="C39" s="37">
        <v>100</v>
      </c>
      <c r="D39" s="28" t="b">
        <f>I14=SUM(D14:H14)</f>
        <v>1</v>
      </c>
      <c r="E39" s="38" t="s">
        <v>1319</v>
      </c>
      <c r="F39" s="39"/>
      <c r="G39" s="39"/>
      <c r="H39" s="39"/>
      <c r="I39" s="39"/>
      <c r="J39" s="47"/>
      <c r="K39" s="47"/>
      <c r="L39" s="47"/>
      <c r="M39" s="47"/>
      <c r="N39" s="47"/>
    </row>
    <row r="40" spans="1:14" s="12" customFormat="1" ht="15.75">
      <c r="A40" s="41"/>
      <c r="B40" s="1105"/>
      <c r="C40" s="37">
        <v>110</v>
      </c>
      <c r="D40" s="28" t="b">
        <f>I15=SUM(E15:H15)</f>
        <v>1</v>
      </c>
      <c r="E40" s="38" t="s">
        <v>1320</v>
      </c>
      <c r="F40" s="39"/>
      <c r="G40" s="39"/>
      <c r="H40" s="39"/>
      <c r="I40" s="39"/>
      <c r="J40" s="47"/>
      <c r="K40" s="47"/>
      <c r="L40" s="47"/>
      <c r="M40" s="47"/>
      <c r="N40" s="47"/>
    </row>
    <row r="41" spans="1:14" s="12" customFormat="1" ht="15.75">
      <c r="A41" s="41"/>
      <c r="B41" s="1105"/>
      <c r="C41" s="37">
        <v>120</v>
      </c>
      <c r="D41" s="28" t="b">
        <f>I16=SUM(D16:H16)</f>
        <v>1</v>
      </c>
      <c r="E41" s="38" t="s">
        <v>1321</v>
      </c>
      <c r="F41" s="39"/>
      <c r="G41" s="39"/>
      <c r="H41" s="39"/>
      <c r="I41" s="39"/>
      <c r="J41" s="47"/>
      <c r="K41" s="47"/>
      <c r="L41" s="47"/>
      <c r="M41" s="47"/>
      <c r="N41" s="47"/>
    </row>
    <row r="42" spans="1:14" s="12" customFormat="1" ht="15.75">
      <c r="A42" s="41"/>
      <c r="B42" s="1105"/>
      <c r="C42" s="37">
        <v>130</v>
      </c>
      <c r="D42" s="28" t="b">
        <f>I17=SUM(D17:H17)</f>
        <v>1</v>
      </c>
      <c r="E42" s="38" t="s">
        <v>1322</v>
      </c>
      <c r="F42" s="39"/>
      <c r="G42" s="39"/>
      <c r="H42" s="39"/>
      <c r="I42" s="39"/>
      <c r="J42" s="47"/>
      <c r="K42" s="47"/>
      <c r="L42" s="47"/>
      <c r="M42" s="47"/>
      <c r="N42" s="47"/>
    </row>
    <row r="43" spans="1:14" s="12" customFormat="1" ht="15.75">
      <c r="A43" s="41"/>
      <c r="B43" s="1105"/>
      <c r="C43" s="37">
        <v>360</v>
      </c>
      <c r="D43" s="28" t="b">
        <f>I18=SUM(D18:H18)</f>
        <v>1</v>
      </c>
      <c r="E43" s="38" t="s">
        <v>1323</v>
      </c>
      <c r="F43" s="39"/>
      <c r="G43" s="39"/>
      <c r="H43" s="39"/>
      <c r="I43" s="39"/>
      <c r="J43" s="47"/>
      <c r="K43" s="47"/>
      <c r="L43" s="47"/>
      <c r="M43" s="47"/>
      <c r="N43" s="47"/>
    </row>
    <row r="44" spans="1:14" s="12" customFormat="1" ht="15.75">
      <c r="A44" s="41"/>
      <c r="B44" s="1105"/>
      <c r="C44" s="37">
        <v>150</v>
      </c>
      <c r="D44" s="28" t="b">
        <f>I23=SUM(E23:H23)</f>
        <v>1</v>
      </c>
      <c r="E44" s="38" t="s">
        <v>1324</v>
      </c>
      <c r="F44" s="39"/>
      <c r="G44" s="39"/>
      <c r="H44" s="39"/>
      <c r="I44" s="39"/>
      <c r="J44" s="47"/>
      <c r="K44" s="47"/>
      <c r="L44" s="47"/>
      <c r="M44" s="47"/>
      <c r="N44" s="47"/>
    </row>
    <row r="45" spans="1:14" s="5" customFormat="1" ht="15.75">
      <c r="A45" s="19"/>
      <c r="B45" s="43"/>
      <c r="C45" s="37">
        <v>160</v>
      </c>
      <c r="D45" s="28" t="b">
        <f>I24=SUM(E24:H24)</f>
        <v>1</v>
      </c>
      <c r="E45" s="38" t="s">
        <v>2916</v>
      </c>
      <c r="F45" s="39"/>
      <c r="G45" s="39"/>
      <c r="H45" s="39"/>
      <c r="I45" s="39"/>
      <c r="J45" s="101"/>
      <c r="K45" s="101"/>
      <c r="L45" s="101"/>
      <c r="M45" s="101"/>
      <c r="N45" s="101"/>
    </row>
    <row r="46" spans="1:14" s="12" customFormat="1" ht="15.75">
      <c r="A46" s="41"/>
      <c r="B46" s="1105"/>
      <c r="C46" s="37">
        <v>390</v>
      </c>
      <c r="D46" s="28" t="b">
        <f>D18=D20-D21</f>
        <v>1</v>
      </c>
      <c r="E46" s="38" t="s">
        <v>1325</v>
      </c>
      <c r="F46" s="39"/>
      <c r="G46" s="39"/>
      <c r="H46" s="39"/>
      <c r="I46" s="39"/>
      <c r="J46" s="47"/>
      <c r="K46" s="47"/>
      <c r="L46" s="47"/>
      <c r="M46" s="47"/>
      <c r="N46" s="47"/>
    </row>
    <row r="47" spans="1:14" s="12" customFormat="1" ht="15.75">
      <c r="A47" s="41"/>
      <c r="B47" s="1105"/>
      <c r="C47" s="37">
        <v>400</v>
      </c>
      <c r="D47" s="28" t="b">
        <f>IF(D21,IF(D20,TRUE,FALSE),TRUE)</f>
        <v>1</v>
      </c>
      <c r="E47" s="38" t="s">
        <v>1326</v>
      </c>
      <c r="F47" s="39"/>
      <c r="G47" s="39"/>
      <c r="H47" s="39"/>
      <c r="I47" s="39"/>
      <c r="J47" s="47"/>
      <c r="K47" s="47"/>
      <c r="L47" s="47"/>
      <c r="M47" s="47"/>
      <c r="N47" s="47"/>
    </row>
    <row r="48" spans="1:14" s="12" customFormat="1" ht="15.75">
      <c r="A48" s="41"/>
      <c r="B48" s="1105"/>
      <c r="C48" s="37">
        <v>410</v>
      </c>
      <c r="D48" s="28" t="b">
        <f>I26=I18+'15.a'!H18</f>
        <v>1</v>
      </c>
      <c r="E48" s="38" t="s">
        <v>1327</v>
      </c>
      <c r="F48" s="39"/>
      <c r="G48" s="39"/>
      <c r="H48" s="39"/>
      <c r="I48" s="39"/>
      <c r="J48" s="47"/>
      <c r="K48" s="47"/>
      <c r="L48" s="47"/>
      <c r="M48" s="47"/>
      <c r="N48" s="47"/>
    </row>
    <row r="49" spans="1:10" s="12" customFormat="1" ht="13.5">
      <c r="A49" s="41"/>
      <c r="B49" s="1105"/>
      <c r="C49" s="37">
        <v>420</v>
      </c>
      <c r="D49" s="28" t="b">
        <f>I26='1.1'!E14</f>
        <v>1</v>
      </c>
      <c r="E49" s="29" t="s">
        <v>2768</v>
      </c>
      <c r="F49" s="41"/>
      <c r="G49" s="41"/>
      <c r="H49" s="41"/>
      <c r="I49" s="41"/>
      <c r="J49" s="41"/>
    </row>
    <row r="50" spans="1:10" s="12" customFormat="1" ht="13.5">
      <c r="A50" s="41"/>
      <c r="B50" s="1105"/>
      <c r="C50" s="37">
        <v>430</v>
      </c>
      <c r="D50" s="28" t="b">
        <f>D18=D5+D7-D9-D10+D11-D14+D16+D17</f>
        <v>1</v>
      </c>
      <c r="E50" s="29" t="s">
        <v>2769</v>
      </c>
    </row>
    <row r="51" spans="1:10" s="5" customFormat="1" ht="13.5">
      <c r="A51" s="19"/>
      <c r="B51" s="43"/>
      <c r="C51" s="37">
        <v>170</v>
      </c>
      <c r="D51" s="1114" t="b">
        <f>E18=E5+E6+E7+E8-E9-E10-E12-E14+E15+E16+E17</f>
        <v>1</v>
      </c>
      <c r="E51" s="1114" t="s">
        <v>2770</v>
      </c>
      <c r="F51" s="28"/>
      <c r="G51" s="28"/>
      <c r="H51" s="28"/>
      <c r="I51" s="28"/>
      <c r="J51" s="28"/>
    </row>
    <row r="52" spans="1:10" s="5" customFormat="1" ht="13.5">
      <c r="A52" s="19"/>
      <c r="B52" s="43"/>
      <c r="C52" s="37">
        <v>180</v>
      </c>
      <c r="D52" s="1114" t="b">
        <f>F18=F5+F6+F7+F8-F9-F10-F12-F14+F15+F16+F17</f>
        <v>1</v>
      </c>
      <c r="E52" s="1114" t="s">
        <v>2771</v>
      </c>
    </row>
    <row r="53" spans="1:10" s="5" customFormat="1" ht="13.5">
      <c r="A53" s="19"/>
      <c r="B53" s="43"/>
      <c r="C53" s="37">
        <v>190</v>
      </c>
      <c r="D53" s="1114" t="b">
        <f>G18=G5+G6+G7+G8-G9-G10-G12-G14+G15+G16+G17</f>
        <v>1</v>
      </c>
      <c r="E53" s="1114" t="s">
        <v>2772</v>
      </c>
    </row>
    <row r="54" spans="1:10" s="5" customFormat="1" ht="13.5">
      <c r="A54" s="19"/>
      <c r="B54" s="43"/>
      <c r="C54" s="37">
        <v>200</v>
      </c>
      <c r="D54" s="1114" t="b">
        <f>H18=H5+H6+H7+H8-H9-H10-H12-H14+H15+H16+H17</f>
        <v>1</v>
      </c>
      <c r="E54" s="1114" t="s">
        <v>2773</v>
      </c>
    </row>
    <row r="55" spans="1:10" s="5" customFormat="1" ht="13.5">
      <c r="A55" s="19"/>
      <c r="B55" s="43"/>
      <c r="C55" s="37">
        <v>480</v>
      </c>
      <c r="D55" s="1114" t="b">
        <f>I18=I5+I6+I7+I8-I9-I10+I11-I12-I14+I15+I16+I17</f>
        <v>1</v>
      </c>
      <c r="E55" s="1114" t="s">
        <v>2774</v>
      </c>
    </row>
    <row r="56" spans="1:10" s="5" customFormat="1" ht="13.5">
      <c r="C56" s="37">
        <v>490</v>
      </c>
      <c r="D56" s="28" t="b">
        <f>D14='37.a'!C14</f>
        <v>1</v>
      </c>
      <c r="E56" s="29" t="s">
        <v>1</v>
      </c>
    </row>
    <row r="57" spans="1:10" ht="13.5">
      <c r="C57" s="37">
        <v>500</v>
      </c>
      <c r="D57" s="28" t="b">
        <f>'15.a'!H14+'15.b'!I14-'15.b'!D14='37.a'!C15</f>
        <v>1</v>
      </c>
      <c r="E57" s="29" t="s">
        <v>2</v>
      </c>
    </row>
    <row r="58" spans="1:10" ht="13.5">
      <c r="C58" s="37">
        <v>510</v>
      </c>
      <c r="D58" s="28" t="b">
        <f>'15.a'!H15+'15.b'!I15='37.a'!D15</f>
        <v>1</v>
      </c>
      <c r="E58" s="29" t="s">
        <v>3</v>
      </c>
    </row>
  </sheetData>
  <customSheetViews>
    <customSheetView guid="{5D819D0C-25F7-408A-B978-F4F86F7655CA}" showPageBreaks="1" showRuler="0" topLeftCell="A16">
      <selection activeCell="C26" sqref="C2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3" sqref="A13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41" right="0.23" top="0.98425196850393704" bottom="0.98425196850393704" header="0.51181102362204722" footer="0.51181102362204722"/>
  <pageSetup paperSize="8" orientation="landscape" r:id="rId4"/>
  <headerFooter alignWithMargins="0">
    <oddHeader>&amp;C15.B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Normal="100" workbookViewId="0"/>
  </sheetViews>
  <sheetFormatPr defaultRowHeight="12.75"/>
  <cols>
    <col min="2" max="2" width="9.5703125" customWidth="1"/>
    <col min="3" max="3" width="9.42578125" customWidth="1"/>
    <col min="4" max="5" width="9.7109375" customWidth="1"/>
    <col min="6" max="6" width="10.42578125" customWidth="1"/>
    <col min="7" max="7" width="11.5703125" customWidth="1"/>
    <col min="8" max="8" width="10.5703125" customWidth="1"/>
    <col min="12" max="12" width="37.28515625" customWidth="1"/>
  </cols>
  <sheetData>
    <row r="1" spans="1:8" s="5" customFormat="1" ht="15.75">
      <c r="A1" s="477" t="s">
        <v>2518</v>
      </c>
      <c r="B1" s="279"/>
      <c r="C1" s="279"/>
      <c r="D1" s="279"/>
      <c r="E1" s="279"/>
      <c r="F1" s="279"/>
      <c r="G1" s="279"/>
      <c r="H1" s="279"/>
    </row>
    <row r="2" spans="1:8" ht="15.75">
      <c r="A2" s="477" t="s">
        <v>429</v>
      </c>
      <c r="B2" s="52"/>
      <c r="C2" s="52"/>
      <c r="D2" s="52"/>
      <c r="E2" s="52"/>
      <c r="F2" s="279"/>
      <c r="G2" s="279"/>
      <c r="H2" s="279"/>
    </row>
    <row r="3" spans="1:8" ht="16.5" thickBot="1">
      <c r="A3" s="477"/>
      <c r="B3" s="52"/>
      <c r="C3" s="52"/>
      <c r="D3" s="52"/>
      <c r="E3" s="52"/>
      <c r="F3" s="279"/>
      <c r="G3" s="279"/>
      <c r="H3" s="279"/>
    </row>
    <row r="4" spans="1:8" ht="162" customHeight="1" thickBot="1">
      <c r="A4" s="517"/>
      <c r="B4" s="271" t="s">
        <v>430</v>
      </c>
      <c r="C4" s="271" t="s">
        <v>437</v>
      </c>
      <c r="D4" s="271" t="s">
        <v>438</v>
      </c>
      <c r="E4" s="271" t="s">
        <v>435</v>
      </c>
      <c r="F4" s="271" t="s">
        <v>436</v>
      </c>
      <c r="G4" s="271" t="s">
        <v>699</v>
      </c>
      <c r="H4" s="271" t="s">
        <v>700</v>
      </c>
    </row>
    <row r="5" spans="1:8" ht="15.75" thickBot="1">
      <c r="A5" s="302" t="s">
        <v>1134</v>
      </c>
      <c r="B5" s="371" t="s">
        <v>1013</v>
      </c>
      <c r="C5" s="371" t="s">
        <v>1014</v>
      </c>
      <c r="D5" s="518" t="s">
        <v>1015</v>
      </c>
      <c r="E5" s="371" t="s">
        <v>1016</v>
      </c>
      <c r="F5" s="518" t="s">
        <v>525</v>
      </c>
      <c r="G5" s="371" t="s">
        <v>526</v>
      </c>
      <c r="H5" s="519" t="s">
        <v>1415</v>
      </c>
    </row>
    <row r="6" spans="1:8" ht="15.75" thickBot="1">
      <c r="A6" s="390"/>
      <c r="B6" s="1210" t="s">
        <v>431</v>
      </c>
      <c r="C6" s="1211"/>
      <c r="D6" s="1211"/>
      <c r="E6" s="1211"/>
      <c r="F6" s="1211"/>
      <c r="G6" s="1211"/>
      <c r="H6" s="1212"/>
    </row>
    <row r="7" spans="1:8" ht="15.75" thickBot="1">
      <c r="A7" s="392">
        <v>7101</v>
      </c>
      <c r="B7" s="919" t="s">
        <v>2628</v>
      </c>
      <c r="C7" s="920">
        <v>0.25</v>
      </c>
      <c r="D7" s="920">
        <v>2500</v>
      </c>
      <c r="E7" s="920">
        <v>200</v>
      </c>
      <c r="F7" s="920">
        <v>600</v>
      </c>
      <c r="G7" s="920">
        <v>125</v>
      </c>
      <c r="H7" s="921" t="s">
        <v>2631</v>
      </c>
    </row>
    <row r="8" spans="1:8" ht="15.75" thickBot="1">
      <c r="A8" s="392">
        <v>7102</v>
      </c>
      <c r="B8" s="922"/>
      <c r="C8" s="923"/>
      <c r="D8" s="923"/>
      <c r="E8" s="923"/>
      <c r="F8" s="923"/>
      <c r="G8" s="923"/>
      <c r="H8" s="923"/>
    </row>
    <row r="9" spans="1:8" ht="15.75" customHeight="1" thickBot="1">
      <c r="A9" s="392"/>
      <c r="B9" s="1213" t="s">
        <v>432</v>
      </c>
      <c r="C9" s="1214"/>
      <c r="D9" s="1214"/>
      <c r="E9" s="1214"/>
      <c r="F9" s="1214"/>
      <c r="G9" s="1214"/>
      <c r="H9" s="1215"/>
    </row>
    <row r="10" spans="1:8" ht="15.75" thickBot="1">
      <c r="A10" s="392">
        <v>7201</v>
      </c>
      <c r="B10" s="919" t="s">
        <v>2629</v>
      </c>
      <c r="C10" s="920">
        <v>0.3</v>
      </c>
      <c r="D10" s="920">
        <v>3000</v>
      </c>
      <c r="E10" s="920">
        <v>2700</v>
      </c>
      <c r="F10" s="920">
        <v>50</v>
      </c>
      <c r="G10" s="920">
        <v>200</v>
      </c>
      <c r="H10" s="921" t="s">
        <v>2631</v>
      </c>
    </row>
    <row r="11" spans="1:8" ht="15.75" thickBot="1">
      <c r="A11" s="393">
        <v>7202</v>
      </c>
      <c r="B11" s="919" t="s">
        <v>2630</v>
      </c>
      <c r="C11" s="920">
        <v>0.28000000000000003</v>
      </c>
      <c r="D11" s="920">
        <v>2000</v>
      </c>
      <c r="E11" s="920">
        <v>1750</v>
      </c>
      <c r="F11" s="920">
        <v>-250</v>
      </c>
      <c r="G11" s="920">
        <v>120</v>
      </c>
      <c r="H11" s="921" t="s">
        <v>2631</v>
      </c>
    </row>
    <row r="12" spans="1:8">
      <c r="B12" s="11"/>
      <c r="C12" s="12"/>
      <c r="D12" s="12"/>
      <c r="E12" s="12"/>
      <c r="F12" s="12"/>
      <c r="G12" s="12"/>
      <c r="H12" s="12"/>
    </row>
    <row r="13" spans="1:8" ht="12" customHeight="1">
      <c r="B13" s="11"/>
      <c r="C13" s="12"/>
      <c r="D13" s="12"/>
      <c r="E13" s="12"/>
      <c r="F13" s="12"/>
      <c r="G13" s="12"/>
      <c r="H13" s="12"/>
    </row>
    <row r="15" spans="1:8" s="1134" customFormat="1" ht="16.5">
      <c r="A15" s="1139"/>
      <c r="B15" s="33"/>
      <c r="C15" s="37">
        <v>10</v>
      </c>
      <c r="D15" s="28" t="s">
        <v>2217</v>
      </c>
      <c r="E15" s="38"/>
      <c r="F15" s="1180"/>
      <c r="G15" s="1180"/>
      <c r="H15" s="1180"/>
    </row>
    <row r="16" spans="1:8" s="1134" customFormat="1" ht="16.5">
      <c r="A16" s="1139"/>
      <c r="B16" s="33"/>
      <c r="C16" s="37">
        <v>20</v>
      </c>
      <c r="D16" s="1134" t="b">
        <f>IF(B7&lt;&gt;"",IF(AND(C7&lt;&gt;"",D7&lt;&gt;"",E7&lt;&gt;"",F7&lt;&gt;"",H7&lt;&gt;""),TRUE,FALSE),IF(AND(B7="",D7="",E7="",F7="",H7=""),TRUE,FALSE))</f>
        <v>1</v>
      </c>
      <c r="E16" s="38" t="s">
        <v>2218</v>
      </c>
      <c r="F16" s="1180"/>
      <c r="G16" s="1180"/>
      <c r="H16" s="1180"/>
    </row>
    <row r="17" spans="1:8" s="1134" customFormat="1" ht="16.5">
      <c r="A17" s="1139"/>
      <c r="B17" s="33"/>
      <c r="C17" s="37">
        <v>30</v>
      </c>
      <c r="D17" s="1134" t="b">
        <f>IF(B8&lt;&gt;"",IF(AND(C8&lt;&gt;"",D8&lt;&gt;"",E8&lt;&gt;"",F8&lt;&gt;"",H8&lt;&gt;""),TRUE,FALSE),IF(AND(B8="",D8="",E8="",F8="",H8=""),TRUE,FALSE))</f>
        <v>1</v>
      </c>
      <c r="E17" s="38" t="s">
        <v>2219</v>
      </c>
      <c r="F17" s="1180"/>
      <c r="G17" s="1180"/>
      <c r="H17" s="1180"/>
    </row>
    <row r="18" spans="1:8" s="1134" customFormat="1" ht="16.5">
      <c r="A18" s="1139"/>
      <c r="B18" s="33"/>
      <c r="C18" s="37">
        <v>40</v>
      </c>
      <c r="D18" s="1134" t="b">
        <f>IF(B10&lt;&gt;"",IF(AND(C10&lt;&gt;"",D10&lt;&gt;"",E10&lt;&gt;"",F10&lt;&gt;"",H10&lt;&gt;""),TRUE,FALSE),IF(AND(B10="",D10="",E10="",F10="",H10=""),TRUE,FALSE))</f>
        <v>1</v>
      </c>
      <c r="E18" s="38" t="s">
        <v>2220</v>
      </c>
      <c r="F18" s="1180"/>
      <c r="G18" s="1180"/>
      <c r="H18" s="1180"/>
    </row>
    <row r="19" spans="1:8" s="1134" customFormat="1" ht="16.5">
      <c r="A19" s="1139"/>
      <c r="B19" s="33"/>
      <c r="C19" s="37">
        <v>50</v>
      </c>
      <c r="D19" s="1134" t="b">
        <f>IF(B11&lt;&gt;"",IF(AND(C11&lt;&gt;"",D11&lt;&gt;"",E11&lt;&gt;"",F11&lt;&gt;"",H11&lt;&gt;""),TRUE,FALSE),IF(AND(B11="",D11="",E11="",F11="",H11=""),TRUE,FALSE))</f>
        <v>1</v>
      </c>
      <c r="E19" s="38" t="s">
        <v>2221</v>
      </c>
      <c r="F19" s="1180"/>
      <c r="G19" s="1180"/>
      <c r="H19" s="1180"/>
    </row>
    <row r="20" spans="1:8" s="1134" customFormat="1" ht="13.5"/>
    <row r="21" spans="1:8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7" sqref="A7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7" sqref="A7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B6:H6"/>
    <mergeCell ref="B9:H9"/>
  </mergeCells>
  <phoneticPr fontId="0" type="noConversion"/>
  <pageMargins left="0.75" right="0.75" top="1" bottom="1" header="0.5" footer="0.5"/>
  <pageSetup paperSize="8" scale="205" orientation="landscape" r:id="rId4"/>
  <headerFooter alignWithMargins="0">
    <oddHeader>&amp;C16.A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85" workbookViewId="0">
      <selection activeCell="A15" sqref="A15:XFD19"/>
    </sheetView>
  </sheetViews>
  <sheetFormatPr defaultRowHeight="12.75"/>
  <cols>
    <col min="1" max="1" width="9.7109375" customWidth="1"/>
    <col min="2" max="2" width="9.28515625" customWidth="1"/>
    <col min="6" max="6" width="9.5703125" customWidth="1"/>
  </cols>
  <sheetData>
    <row r="1" spans="1:8" s="5" customFormat="1" ht="15.75">
      <c r="A1" s="477" t="s">
        <v>2518</v>
      </c>
      <c r="B1" s="279"/>
      <c r="C1" s="279"/>
      <c r="D1" s="279"/>
      <c r="E1" s="279"/>
      <c r="F1" s="279"/>
      <c r="G1" s="279"/>
    </row>
    <row r="2" spans="1:8" ht="15.75">
      <c r="A2" s="477" t="s">
        <v>433</v>
      </c>
      <c r="B2" s="52"/>
      <c r="C2" s="52"/>
      <c r="D2" s="52"/>
      <c r="E2" s="52"/>
      <c r="F2" s="52"/>
      <c r="G2" s="279"/>
    </row>
    <row r="3" spans="1:8" ht="16.5" thickBot="1">
      <c r="A3" s="477"/>
      <c r="B3" s="52"/>
      <c r="C3" s="52"/>
      <c r="D3" s="52"/>
      <c r="E3" s="52"/>
      <c r="F3" s="52"/>
      <c r="G3" s="279"/>
    </row>
    <row r="4" spans="1:8" ht="124.5" customHeight="1" thickBot="1">
      <c r="A4" s="517"/>
      <c r="B4" s="271" t="s">
        <v>430</v>
      </c>
      <c r="C4" s="271" t="s">
        <v>701</v>
      </c>
      <c r="D4" s="271" t="s">
        <v>2138</v>
      </c>
      <c r="E4" s="271" t="s">
        <v>2139</v>
      </c>
      <c r="F4" s="271" t="s">
        <v>436</v>
      </c>
      <c r="G4" s="271" t="s">
        <v>2140</v>
      </c>
    </row>
    <row r="5" spans="1:8" ht="15.75" thickBot="1">
      <c r="A5" s="474" t="s">
        <v>1135</v>
      </c>
      <c r="B5" s="520" t="s">
        <v>1013</v>
      </c>
      <c r="C5" s="371" t="s">
        <v>1014</v>
      </c>
      <c r="D5" s="518" t="s">
        <v>1015</v>
      </c>
      <c r="E5" s="371" t="s">
        <v>1016</v>
      </c>
      <c r="F5" s="371" t="s">
        <v>525</v>
      </c>
      <c r="G5" s="519" t="s">
        <v>1415</v>
      </c>
    </row>
    <row r="6" spans="1:8" ht="15.75" thickBot="1">
      <c r="A6" s="390"/>
      <c r="B6" s="1210" t="s">
        <v>434</v>
      </c>
      <c r="C6" s="1211"/>
      <c r="D6" s="1211"/>
      <c r="E6" s="1211"/>
      <c r="F6" s="1211"/>
      <c r="G6" s="1212"/>
    </row>
    <row r="7" spans="1:8" ht="21.75" thickBot="1">
      <c r="A7" s="392">
        <v>7301</v>
      </c>
      <c r="B7" s="919" t="s">
        <v>2632</v>
      </c>
      <c r="C7" s="920">
        <v>0.5</v>
      </c>
      <c r="D7" s="920">
        <v>500</v>
      </c>
      <c r="E7" s="920">
        <v>400</v>
      </c>
      <c r="F7" s="920">
        <v>120</v>
      </c>
      <c r="G7" s="921" t="s">
        <v>2631</v>
      </c>
    </row>
    <row r="8" spans="1:8" ht="21.75" thickBot="1">
      <c r="A8" s="392">
        <v>7302</v>
      </c>
      <c r="B8" s="919" t="s">
        <v>2633</v>
      </c>
      <c r="C8" s="920">
        <v>0.5</v>
      </c>
      <c r="D8" s="920">
        <v>400</v>
      </c>
      <c r="E8" s="920">
        <v>350</v>
      </c>
      <c r="F8" s="920">
        <v>-20</v>
      </c>
      <c r="G8" s="921" t="s">
        <v>2631</v>
      </c>
    </row>
    <row r="9" spans="1:8" ht="15.75" customHeight="1" thickBot="1">
      <c r="A9" s="392"/>
      <c r="B9" s="1213" t="s">
        <v>432</v>
      </c>
      <c r="C9" s="1214"/>
      <c r="D9" s="1214"/>
      <c r="E9" s="1214"/>
      <c r="F9" s="1214"/>
      <c r="G9" s="1215"/>
    </row>
    <row r="10" spans="1:8" ht="21.75" thickBot="1">
      <c r="A10" s="392">
        <v>7401</v>
      </c>
      <c r="B10" s="919" t="s">
        <v>2634</v>
      </c>
      <c r="C10" s="920">
        <v>0.75</v>
      </c>
      <c r="D10" s="920">
        <v>700</v>
      </c>
      <c r="E10" s="920">
        <v>650</v>
      </c>
      <c r="F10" s="920">
        <v>35</v>
      </c>
      <c r="G10" s="921" t="s">
        <v>2631</v>
      </c>
    </row>
    <row r="11" spans="1:8" ht="15.75" thickBot="1">
      <c r="A11" s="393">
        <v>7402</v>
      </c>
      <c r="B11" s="922"/>
      <c r="C11" s="923"/>
      <c r="D11" s="923"/>
      <c r="E11" s="923"/>
      <c r="F11" s="923"/>
      <c r="G11" s="923"/>
    </row>
    <row r="12" spans="1:8" ht="15">
      <c r="A12" s="279"/>
      <c r="B12" s="279"/>
      <c r="C12" s="279"/>
      <c r="D12" s="279"/>
      <c r="E12" s="279"/>
      <c r="F12" s="279"/>
      <c r="G12" s="279"/>
    </row>
    <row r="13" spans="1:8" ht="15">
      <c r="A13" s="279"/>
      <c r="B13" s="279"/>
      <c r="C13" s="279"/>
      <c r="D13" s="279"/>
      <c r="E13" s="279"/>
      <c r="F13" s="279"/>
      <c r="G13" s="279"/>
    </row>
    <row r="15" spans="1:8" s="1134" customFormat="1" ht="16.5">
      <c r="A15" s="1139"/>
      <c r="B15" s="33"/>
      <c r="C15" s="33">
        <v>60</v>
      </c>
      <c r="D15" s="28" t="s">
        <v>2222</v>
      </c>
      <c r="E15" s="38"/>
      <c r="F15" s="1180"/>
      <c r="G15" s="1180"/>
      <c r="H15" s="1180"/>
    </row>
    <row r="16" spans="1:8" s="1134" customFormat="1" ht="16.5">
      <c r="A16" s="1139"/>
      <c r="B16" s="33"/>
      <c r="C16" s="33">
        <v>70</v>
      </c>
      <c r="D16" s="1134" t="b">
        <f>IF(B7&lt;&gt;"",IF(AND(C7&lt;&gt;"",D7&lt;&gt;"",E7&lt;&gt;"",F7&lt;&gt;"",G7&lt;&gt;""),TRUE,FALSE),IF(AND(B7="",D7="",E7="",F7="",G7=""),TRUE,FALSE))</f>
        <v>1</v>
      </c>
      <c r="E16" s="38" t="s">
        <v>2917</v>
      </c>
      <c r="F16" s="1180"/>
      <c r="G16" s="1180"/>
      <c r="H16" s="1180"/>
    </row>
    <row r="17" spans="1:8" s="1134" customFormat="1" ht="16.5">
      <c r="A17" s="1139"/>
      <c r="B17" s="33"/>
      <c r="C17" s="33">
        <v>80</v>
      </c>
      <c r="D17" s="1134" t="b">
        <f>IF(B8&lt;&gt;"",IF(AND(C8&lt;&gt;"",D8&lt;&gt;"",E8&lt;&gt;"",F8&lt;&gt;"",G8&lt;&gt;""),TRUE,FALSE),IF(AND(B8="",D8="",E8="",F8="",G8=""),TRUE,FALSE))</f>
        <v>1</v>
      </c>
      <c r="E17" s="38" t="s">
        <v>2918</v>
      </c>
      <c r="F17" s="1180"/>
      <c r="G17" s="1180"/>
      <c r="H17" s="1180"/>
    </row>
    <row r="18" spans="1:8" s="1134" customFormat="1" ht="16.5">
      <c r="A18" s="1139"/>
      <c r="B18" s="33"/>
      <c r="C18" s="33">
        <v>90</v>
      </c>
      <c r="D18" s="1134" t="b">
        <f>IF(B10&lt;&gt;"",IF(AND(C10&lt;&gt;"",D10&lt;&gt;"",E10&lt;&gt;"",F10&lt;&gt;"",G10&lt;&gt;""),TRUE,FALSE),IF(AND(B10="",D10="",E10="",F10="",G10=""),TRUE,FALSE))</f>
        <v>1</v>
      </c>
      <c r="E18" s="38" t="s">
        <v>2919</v>
      </c>
      <c r="F18" s="1180"/>
      <c r="G18" s="1180"/>
      <c r="H18" s="1180"/>
    </row>
    <row r="19" spans="1:8" s="1134" customFormat="1" ht="16.5">
      <c r="A19" s="1139"/>
      <c r="B19" s="33"/>
      <c r="C19" s="33">
        <v>100</v>
      </c>
      <c r="D19" s="1134" t="b">
        <f>IF(B11&lt;&gt;"",IF(AND(C11&lt;&gt;"",D11&lt;&gt;"",E11&lt;&gt;"",F11&lt;&gt;"",G11&lt;&gt;""),TRUE,FALSE),IF(AND(B11="",D11="",E11="",F11="",G11=""),TRUE,FALSE))</f>
        <v>1</v>
      </c>
      <c r="E19" s="38" t="s">
        <v>2920</v>
      </c>
      <c r="F19" s="1180"/>
      <c r="G19" s="1180"/>
      <c r="H19" s="118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9" sqref="A9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9" sqref="A9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B6:G6"/>
    <mergeCell ref="B9:G9"/>
  </mergeCells>
  <phoneticPr fontId="8" type="noConversion"/>
  <pageMargins left="0.75" right="0.75" top="1" bottom="1" header="0.5" footer="0.5"/>
  <pageSetup paperSize="8" scale="175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Normal="100" zoomScaleSheetLayoutView="100" workbookViewId="0"/>
  </sheetViews>
  <sheetFormatPr defaultRowHeight="12.75"/>
  <cols>
    <col min="1" max="1" width="45.42578125" customWidth="1"/>
    <col min="2" max="2" width="19.7109375" customWidth="1"/>
    <col min="4" max="4" width="7.85546875" customWidth="1"/>
    <col min="5" max="5" width="8.28515625" customWidth="1"/>
    <col min="6" max="6" width="8" customWidth="1"/>
    <col min="7" max="7" width="8.140625" customWidth="1"/>
    <col min="8" max="8" width="8.28515625" customWidth="1"/>
    <col min="10" max="10" width="18.42578125" customWidth="1"/>
    <col min="12" max="12" width="3.5703125" bestFit="1" customWidth="1"/>
    <col min="13" max="13" width="6.140625" bestFit="1" customWidth="1"/>
    <col min="14" max="17" width="3.5703125" bestFit="1" customWidth="1"/>
  </cols>
  <sheetData>
    <row r="1" spans="1:8" ht="117" customHeight="1" thickBot="1">
      <c r="A1" s="265" t="s">
        <v>638</v>
      </c>
      <c r="B1" s="268" t="s">
        <v>2202</v>
      </c>
      <c r="C1" s="268" t="s">
        <v>2203</v>
      </c>
      <c r="D1" s="268"/>
      <c r="E1" s="268" t="s">
        <v>2204</v>
      </c>
      <c r="F1" s="268" t="s">
        <v>2205</v>
      </c>
      <c r="G1" s="268" t="s">
        <v>2206</v>
      </c>
      <c r="H1" s="268" t="s">
        <v>2207</v>
      </c>
    </row>
    <row r="2" spans="1:8" s="1" customFormat="1" ht="15.75" thickBot="1">
      <c r="A2" s="145"/>
      <c r="B2" s="187"/>
      <c r="C2" s="187"/>
      <c r="D2" s="171" t="s">
        <v>1012</v>
      </c>
      <c r="E2" s="172" t="s">
        <v>1013</v>
      </c>
      <c r="F2" s="172" t="s">
        <v>1014</v>
      </c>
      <c r="G2" s="172" t="s">
        <v>1015</v>
      </c>
      <c r="H2" s="172" t="s">
        <v>1016</v>
      </c>
    </row>
    <row r="3" spans="1:8" ht="15.75" thickBot="1">
      <c r="A3" s="146" t="s">
        <v>865</v>
      </c>
      <c r="B3" s="162" t="s">
        <v>866</v>
      </c>
      <c r="C3" s="163"/>
      <c r="D3" s="188">
        <v>7100</v>
      </c>
      <c r="E3" s="934">
        <f>SUM(F3:H3)</f>
        <v>600</v>
      </c>
      <c r="F3" s="824">
        <f>SUM(F4:F5)</f>
        <v>300</v>
      </c>
      <c r="G3" s="824">
        <f>SUM(G4:G5)</f>
        <v>180</v>
      </c>
      <c r="H3" s="824">
        <f>SUM(H4:H5)</f>
        <v>120</v>
      </c>
    </row>
    <row r="4" spans="1:8" ht="15.75" thickBot="1">
      <c r="A4" s="149" t="s">
        <v>867</v>
      </c>
      <c r="B4" s="162" t="s">
        <v>868</v>
      </c>
      <c r="C4" s="163"/>
      <c r="D4" s="173">
        <v>7110</v>
      </c>
      <c r="E4" s="934">
        <f t="shared" ref="E4:E26" si="0">SUM(F4:H4)</f>
        <v>400</v>
      </c>
      <c r="F4" s="821">
        <v>200</v>
      </c>
      <c r="G4" s="821">
        <v>120</v>
      </c>
      <c r="H4" s="821">
        <v>80</v>
      </c>
    </row>
    <row r="5" spans="1:8" ht="15.75" thickBot="1">
      <c r="A5" s="150" t="s">
        <v>869</v>
      </c>
      <c r="B5" s="160" t="s">
        <v>868</v>
      </c>
      <c r="C5" s="161"/>
      <c r="D5" s="173">
        <v>7120</v>
      </c>
      <c r="E5" s="934">
        <f t="shared" si="0"/>
        <v>200</v>
      </c>
      <c r="F5" s="825">
        <v>100</v>
      </c>
      <c r="G5" s="825">
        <v>60</v>
      </c>
      <c r="H5" s="825">
        <v>40</v>
      </c>
    </row>
    <row r="6" spans="1:8" ht="15.75" thickBot="1">
      <c r="A6" s="144" t="s">
        <v>870</v>
      </c>
      <c r="B6" s="160" t="s">
        <v>868</v>
      </c>
      <c r="C6" s="161"/>
      <c r="D6" s="173">
        <v>7130</v>
      </c>
      <c r="E6" s="934">
        <f t="shared" si="0"/>
        <v>400</v>
      </c>
      <c r="F6" s="825">
        <v>200</v>
      </c>
      <c r="G6" s="825">
        <v>120</v>
      </c>
      <c r="H6" s="825">
        <v>80</v>
      </c>
    </row>
    <row r="7" spans="1:8" ht="15.75" thickBot="1">
      <c r="A7" s="146" t="s">
        <v>871</v>
      </c>
      <c r="B7" s="162" t="s">
        <v>740</v>
      </c>
      <c r="C7" s="163"/>
      <c r="D7" s="173">
        <v>7140</v>
      </c>
      <c r="E7" s="934">
        <f t="shared" si="0"/>
        <v>400</v>
      </c>
      <c r="F7" s="824">
        <f>SUM(F8:F9)</f>
        <v>200</v>
      </c>
      <c r="G7" s="824">
        <f>SUM(G8:G9)</f>
        <v>120</v>
      </c>
      <c r="H7" s="824">
        <f>SUM(H8:H9)</f>
        <v>80</v>
      </c>
    </row>
    <row r="8" spans="1:8" ht="30.75" thickBot="1">
      <c r="A8" s="149" t="s">
        <v>1589</v>
      </c>
      <c r="B8" s="162" t="s">
        <v>1590</v>
      </c>
      <c r="C8" s="163"/>
      <c r="D8" s="173">
        <v>7150</v>
      </c>
      <c r="E8" s="934">
        <f t="shared" si="0"/>
        <v>300</v>
      </c>
      <c r="F8" s="821">
        <v>150</v>
      </c>
      <c r="G8" s="821">
        <v>90</v>
      </c>
      <c r="H8" s="821">
        <v>60</v>
      </c>
    </row>
    <row r="9" spans="1:8" ht="15.75" thickBot="1">
      <c r="A9" s="150" t="s">
        <v>1591</v>
      </c>
      <c r="B9" s="189" t="s">
        <v>165</v>
      </c>
      <c r="C9" s="161"/>
      <c r="D9" s="173">
        <v>7160</v>
      </c>
      <c r="E9" s="934">
        <f t="shared" si="0"/>
        <v>100</v>
      </c>
      <c r="F9" s="825">
        <v>50</v>
      </c>
      <c r="G9" s="825">
        <v>30</v>
      </c>
      <c r="H9" s="825">
        <v>20</v>
      </c>
    </row>
    <row r="10" spans="1:8" ht="18" customHeight="1" thickBot="1">
      <c r="A10" s="146" t="s">
        <v>1592</v>
      </c>
      <c r="B10" s="162" t="s">
        <v>740</v>
      </c>
      <c r="C10" s="163"/>
      <c r="D10" s="173">
        <v>7170</v>
      </c>
      <c r="E10" s="934">
        <f t="shared" si="0"/>
        <v>400</v>
      </c>
      <c r="F10" s="824">
        <f>SUM(F11:F18)</f>
        <v>200</v>
      </c>
      <c r="G10" s="824">
        <f>SUM(G11:G18)</f>
        <v>120</v>
      </c>
      <c r="H10" s="824">
        <f>SUM(H11:H18)</f>
        <v>80</v>
      </c>
    </row>
    <row r="11" spans="1:8" ht="15.75" thickBot="1">
      <c r="A11" s="149" t="s">
        <v>1593</v>
      </c>
      <c r="B11" s="162" t="s">
        <v>1594</v>
      </c>
      <c r="C11" s="163"/>
      <c r="D11" s="173">
        <v>7180</v>
      </c>
      <c r="E11" s="934">
        <f t="shared" si="0"/>
        <v>50</v>
      </c>
      <c r="F11" s="821">
        <v>25</v>
      </c>
      <c r="G11" s="821">
        <v>15</v>
      </c>
      <c r="H11" s="821">
        <v>10</v>
      </c>
    </row>
    <row r="12" spans="1:8" ht="15.75" thickBot="1">
      <c r="A12" s="149" t="s">
        <v>1595</v>
      </c>
      <c r="B12" s="162" t="s">
        <v>1596</v>
      </c>
      <c r="C12" s="163"/>
      <c r="D12" s="173">
        <v>7190</v>
      </c>
      <c r="E12" s="934">
        <f t="shared" si="0"/>
        <v>50</v>
      </c>
      <c r="F12" s="821">
        <v>25</v>
      </c>
      <c r="G12" s="821">
        <v>15</v>
      </c>
      <c r="H12" s="821">
        <v>10</v>
      </c>
    </row>
    <row r="13" spans="1:8" ht="30.75" thickBot="1">
      <c r="A13" s="149" t="s">
        <v>1597</v>
      </c>
      <c r="B13" s="162" t="s">
        <v>1598</v>
      </c>
      <c r="C13" s="163"/>
      <c r="D13" s="173">
        <v>7200</v>
      </c>
      <c r="E13" s="934">
        <f t="shared" si="0"/>
        <v>50</v>
      </c>
      <c r="F13" s="821">
        <v>25</v>
      </c>
      <c r="G13" s="821">
        <v>15</v>
      </c>
      <c r="H13" s="821">
        <v>10</v>
      </c>
    </row>
    <row r="14" spans="1:8" ht="15.75" thickBot="1">
      <c r="A14" s="149" t="s">
        <v>1599</v>
      </c>
      <c r="B14" s="162" t="s">
        <v>1600</v>
      </c>
      <c r="C14" s="163"/>
      <c r="D14" s="173">
        <v>7210</v>
      </c>
      <c r="E14" s="934">
        <f t="shared" si="0"/>
        <v>50</v>
      </c>
      <c r="F14" s="821">
        <v>25</v>
      </c>
      <c r="G14" s="821">
        <v>15</v>
      </c>
      <c r="H14" s="821">
        <v>10</v>
      </c>
    </row>
    <row r="15" spans="1:8" ht="30.75" thickBot="1">
      <c r="A15" s="149" t="s">
        <v>2505</v>
      </c>
      <c r="B15" s="162" t="s">
        <v>2506</v>
      </c>
      <c r="C15" s="163"/>
      <c r="D15" s="173">
        <v>7220</v>
      </c>
      <c r="E15" s="934">
        <f t="shared" si="0"/>
        <v>50</v>
      </c>
      <c r="F15" s="821">
        <v>25</v>
      </c>
      <c r="G15" s="821">
        <v>15</v>
      </c>
      <c r="H15" s="821">
        <v>10</v>
      </c>
    </row>
    <row r="16" spans="1:8" ht="15.75" thickBot="1">
      <c r="A16" s="149" t="s">
        <v>2507</v>
      </c>
      <c r="B16" s="162" t="s">
        <v>2508</v>
      </c>
      <c r="C16" s="163"/>
      <c r="D16" s="173">
        <v>7230</v>
      </c>
      <c r="E16" s="934">
        <f t="shared" si="0"/>
        <v>50</v>
      </c>
      <c r="F16" s="821">
        <v>25</v>
      </c>
      <c r="G16" s="821">
        <v>15</v>
      </c>
      <c r="H16" s="821">
        <v>10</v>
      </c>
    </row>
    <row r="17" spans="1:16" ht="30.75" thickBot="1">
      <c r="A17" s="190" t="s">
        <v>639</v>
      </c>
      <c r="B17" s="160" t="s">
        <v>2509</v>
      </c>
      <c r="C17" s="161"/>
      <c r="D17" s="173">
        <v>7240</v>
      </c>
      <c r="E17" s="934">
        <f t="shared" si="0"/>
        <v>50</v>
      </c>
      <c r="F17" s="825">
        <v>25</v>
      </c>
      <c r="G17" s="825">
        <v>15</v>
      </c>
      <c r="H17" s="825">
        <v>10</v>
      </c>
    </row>
    <row r="18" spans="1:16" ht="15.75" thickBot="1">
      <c r="A18" s="191" t="s">
        <v>335</v>
      </c>
      <c r="B18" s="160" t="s">
        <v>740</v>
      </c>
      <c r="C18" s="161"/>
      <c r="D18" s="173">
        <v>7250</v>
      </c>
      <c r="E18" s="934">
        <f t="shared" si="0"/>
        <v>50</v>
      </c>
      <c r="F18" s="825">
        <v>25</v>
      </c>
      <c r="G18" s="825">
        <v>15</v>
      </c>
      <c r="H18" s="825">
        <v>10</v>
      </c>
    </row>
    <row r="19" spans="1:16" ht="15.75" thickBot="1">
      <c r="A19" s="144" t="s">
        <v>326</v>
      </c>
      <c r="B19" s="160" t="s">
        <v>327</v>
      </c>
      <c r="C19" s="161"/>
      <c r="D19" s="173">
        <v>7260</v>
      </c>
      <c r="E19" s="934">
        <f t="shared" si="0"/>
        <v>400</v>
      </c>
      <c r="F19" s="825">
        <v>200</v>
      </c>
      <c r="G19" s="825">
        <v>120</v>
      </c>
      <c r="H19" s="825">
        <v>80</v>
      </c>
    </row>
    <row r="20" spans="1:16" ht="15.75" thickBot="1">
      <c r="A20" s="144" t="s">
        <v>328</v>
      </c>
      <c r="B20" s="160" t="s">
        <v>329</v>
      </c>
      <c r="C20" s="161"/>
      <c r="D20" s="173">
        <v>7270</v>
      </c>
      <c r="E20" s="934">
        <f t="shared" si="0"/>
        <v>200</v>
      </c>
      <c r="F20" s="825">
        <v>100</v>
      </c>
      <c r="G20" s="825">
        <v>60</v>
      </c>
      <c r="H20" s="825">
        <v>40</v>
      </c>
    </row>
    <row r="21" spans="1:16" ht="15.75" thickBot="1">
      <c r="A21" s="144" t="s">
        <v>330</v>
      </c>
      <c r="B21" s="160" t="s">
        <v>868</v>
      </c>
      <c r="C21" s="161"/>
      <c r="D21" s="173">
        <v>7280</v>
      </c>
      <c r="E21" s="934">
        <f t="shared" si="0"/>
        <v>740</v>
      </c>
      <c r="F21" s="825">
        <v>370</v>
      </c>
      <c r="G21" s="825">
        <v>222</v>
      </c>
      <c r="H21" s="825">
        <v>148</v>
      </c>
    </row>
    <row r="22" spans="1:16" ht="15.75" thickBot="1">
      <c r="A22" s="144" t="s">
        <v>331</v>
      </c>
      <c r="B22" s="160" t="s">
        <v>740</v>
      </c>
      <c r="C22" s="161"/>
      <c r="D22" s="173">
        <v>7290</v>
      </c>
      <c r="E22" s="934">
        <f t="shared" si="0"/>
        <v>200</v>
      </c>
      <c r="F22" s="825">
        <v>100</v>
      </c>
      <c r="G22" s="825">
        <v>60</v>
      </c>
      <c r="H22" s="825">
        <v>40</v>
      </c>
    </row>
    <row r="23" spans="1:16" ht="15.75" thickBot="1">
      <c r="A23" s="146" t="s">
        <v>332</v>
      </c>
      <c r="B23" s="162" t="s">
        <v>333</v>
      </c>
      <c r="C23" s="163"/>
      <c r="D23" s="173">
        <v>7300</v>
      </c>
      <c r="E23" s="934">
        <f t="shared" si="0"/>
        <v>400</v>
      </c>
      <c r="F23" s="824">
        <f>SUM(F24:F25)</f>
        <v>200</v>
      </c>
      <c r="G23" s="824">
        <f>SUM(G24:G25)</f>
        <v>120</v>
      </c>
      <c r="H23" s="824">
        <f>SUM(H24:H25)</f>
        <v>80</v>
      </c>
    </row>
    <row r="24" spans="1:16" ht="30.75" thickBot="1">
      <c r="A24" s="149" t="s">
        <v>2079</v>
      </c>
      <c r="B24" s="162" t="s">
        <v>740</v>
      </c>
      <c r="C24" s="163"/>
      <c r="D24" s="173">
        <v>7310</v>
      </c>
      <c r="E24" s="934">
        <f t="shared" si="0"/>
        <v>200</v>
      </c>
      <c r="F24" s="821">
        <v>100</v>
      </c>
      <c r="G24" s="821">
        <v>60</v>
      </c>
      <c r="H24" s="821">
        <v>40</v>
      </c>
    </row>
    <row r="25" spans="1:16" ht="15.75" thickBot="1">
      <c r="A25" s="149" t="s">
        <v>334</v>
      </c>
      <c r="B25" s="162" t="s">
        <v>740</v>
      </c>
      <c r="C25" s="163"/>
      <c r="D25" s="173">
        <v>7320</v>
      </c>
      <c r="E25" s="934">
        <f t="shared" si="0"/>
        <v>200</v>
      </c>
      <c r="F25" s="821">
        <v>100</v>
      </c>
      <c r="G25" s="821">
        <v>60</v>
      </c>
      <c r="H25" s="821">
        <v>40</v>
      </c>
    </row>
    <row r="26" spans="1:16" ht="15.75" thickBot="1">
      <c r="A26" s="192" t="s">
        <v>425</v>
      </c>
      <c r="B26" s="169"/>
      <c r="C26" s="170"/>
      <c r="D26" s="158">
        <v>7899</v>
      </c>
      <c r="E26" s="1039">
        <f t="shared" si="0"/>
        <v>2940</v>
      </c>
      <c r="F26" s="826">
        <f>SUM(F3,F6:F7,F10,F19,F21,F23)-F20-F22</f>
        <v>1470</v>
      </c>
      <c r="G26" s="826">
        <f>SUM(G3,G6:G7,G10,G19,G21,G23)-G20-G22</f>
        <v>882</v>
      </c>
      <c r="H26" s="826">
        <f>SUM(H3,H6:H7,H10,H19,H21,H23)-H20-H22</f>
        <v>588</v>
      </c>
    </row>
    <row r="27" spans="1:16" ht="15.75" thickBot="1">
      <c r="A27" s="193" t="s">
        <v>426</v>
      </c>
      <c r="B27" s="194"/>
      <c r="C27" s="195"/>
      <c r="D27" s="196">
        <v>7999</v>
      </c>
      <c r="E27" s="1040">
        <f>E26+'1.2'!E22</f>
        <v>15000</v>
      </c>
      <c r="F27" s="1040">
        <f>F26+'1.2'!F22</f>
        <v>7500</v>
      </c>
      <c r="G27" s="1040">
        <f>G26+'1.2'!G22</f>
        <v>4500</v>
      </c>
      <c r="H27" s="1040">
        <f>H26+'1.2'!H22</f>
        <v>3000</v>
      </c>
    </row>
    <row r="29" spans="1:16">
      <c r="D29" s="2"/>
    </row>
    <row r="30" spans="1:16" s="1134" customFormat="1" ht="12" customHeight="1">
      <c r="A30" s="1139"/>
      <c r="B30" s="1106"/>
      <c r="C30" s="790">
        <v>730</v>
      </c>
      <c r="D30" s="31" t="b">
        <f t="shared" ref="D30:D54" si="1">E3=F3+G3+H3</f>
        <v>1</v>
      </c>
      <c r="E30" s="791" t="s">
        <v>1293</v>
      </c>
      <c r="F30" s="1161"/>
      <c r="G30" s="1161"/>
      <c r="H30" s="1161"/>
      <c r="I30" s="1161"/>
      <c r="J30" s="1161"/>
      <c r="K30" s="1161"/>
      <c r="L30" s="1161"/>
      <c r="M30" s="1161"/>
      <c r="N30" s="1162"/>
      <c r="O30" s="1162"/>
      <c r="P30" s="1162"/>
    </row>
    <row r="31" spans="1:16" s="1134" customFormat="1" ht="12" customHeight="1">
      <c r="A31" s="1139"/>
      <c r="B31" s="1106"/>
      <c r="C31" s="790">
        <v>740</v>
      </c>
      <c r="D31" s="31" t="b">
        <f t="shared" si="1"/>
        <v>1</v>
      </c>
      <c r="E31" s="791" t="s">
        <v>1294</v>
      </c>
      <c r="F31" s="1161"/>
      <c r="G31" s="1161"/>
      <c r="H31" s="1161"/>
      <c r="I31" s="1161"/>
      <c r="J31" s="1161"/>
      <c r="K31" s="1161"/>
      <c r="L31" s="1161"/>
      <c r="M31" s="1161"/>
      <c r="N31" s="1162"/>
      <c r="O31" s="1162"/>
      <c r="P31" s="1162"/>
    </row>
    <row r="32" spans="1:16" s="1134" customFormat="1" ht="12" customHeight="1">
      <c r="A32" s="1139"/>
      <c r="B32" s="1106"/>
      <c r="C32" s="790">
        <v>750</v>
      </c>
      <c r="D32" s="31" t="b">
        <f t="shared" si="1"/>
        <v>1</v>
      </c>
      <c r="E32" s="791" t="s">
        <v>1295</v>
      </c>
      <c r="F32" s="1161"/>
      <c r="G32" s="1161"/>
      <c r="H32" s="1161"/>
      <c r="I32" s="1161"/>
      <c r="J32" s="1161"/>
      <c r="K32" s="1161"/>
      <c r="L32" s="1161"/>
      <c r="M32" s="1161"/>
      <c r="N32" s="1162"/>
      <c r="O32" s="1162"/>
      <c r="P32" s="1162"/>
    </row>
    <row r="33" spans="1:16" s="1134" customFormat="1" ht="12" customHeight="1">
      <c r="A33" s="1139"/>
      <c r="B33" s="1106"/>
      <c r="C33" s="790">
        <v>760</v>
      </c>
      <c r="D33" s="31" t="b">
        <f t="shared" si="1"/>
        <v>1</v>
      </c>
      <c r="E33" s="791" t="s">
        <v>1296</v>
      </c>
      <c r="F33" s="1161"/>
      <c r="G33" s="1161"/>
      <c r="H33" s="1161"/>
      <c r="I33" s="1161"/>
      <c r="J33" s="1161"/>
      <c r="K33" s="1161"/>
      <c r="L33" s="1161"/>
      <c r="M33" s="1161"/>
      <c r="N33" s="1162"/>
      <c r="O33" s="1162"/>
      <c r="P33" s="1162"/>
    </row>
    <row r="34" spans="1:16" s="1134" customFormat="1" ht="12" customHeight="1">
      <c r="A34" s="1139"/>
      <c r="B34" s="1106"/>
      <c r="C34" s="790">
        <v>770</v>
      </c>
      <c r="D34" s="31" t="b">
        <f t="shared" si="1"/>
        <v>1</v>
      </c>
      <c r="E34" s="791" t="s">
        <v>1297</v>
      </c>
      <c r="F34" s="1161"/>
      <c r="G34" s="1161"/>
      <c r="H34" s="1161"/>
      <c r="I34" s="1161"/>
      <c r="J34" s="1161"/>
      <c r="K34" s="1161"/>
      <c r="L34" s="1161"/>
      <c r="M34" s="1161"/>
      <c r="N34" s="1162"/>
      <c r="O34" s="1162"/>
      <c r="P34" s="1162"/>
    </row>
    <row r="35" spans="1:16" s="1134" customFormat="1" ht="12" customHeight="1">
      <c r="A35" s="1139"/>
      <c r="B35" s="1106"/>
      <c r="C35" s="790">
        <v>780</v>
      </c>
      <c r="D35" s="31" t="b">
        <f t="shared" si="1"/>
        <v>1</v>
      </c>
      <c r="E35" s="791" t="s">
        <v>1298</v>
      </c>
      <c r="F35" s="1161"/>
      <c r="G35" s="1161"/>
      <c r="H35" s="1161"/>
      <c r="I35" s="1161"/>
      <c r="J35" s="1161"/>
      <c r="K35" s="1161"/>
      <c r="L35" s="1161"/>
      <c r="M35" s="1161"/>
      <c r="N35" s="1162"/>
      <c r="O35" s="1162"/>
      <c r="P35" s="1162"/>
    </row>
    <row r="36" spans="1:16" s="1134" customFormat="1" ht="12" customHeight="1">
      <c r="A36" s="1139"/>
      <c r="B36" s="1106"/>
      <c r="C36" s="790">
        <v>790</v>
      </c>
      <c r="D36" s="31" t="b">
        <f t="shared" si="1"/>
        <v>1</v>
      </c>
      <c r="E36" s="791" t="s">
        <v>1299</v>
      </c>
      <c r="F36" s="1161"/>
      <c r="G36" s="1161"/>
      <c r="H36" s="1161"/>
      <c r="I36" s="1161"/>
      <c r="J36" s="1161"/>
      <c r="K36" s="1161"/>
      <c r="L36" s="1161"/>
      <c r="M36" s="1161"/>
      <c r="N36" s="1162"/>
      <c r="O36" s="1162"/>
      <c r="P36" s="1162"/>
    </row>
    <row r="37" spans="1:16" s="1134" customFormat="1" ht="12" customHeight="1">
      <c r="A37" s="1139"/>
      <c r="B37" s="1106"/>
      <c r="C37" s="790">
        <v>800</v>
      </c>
      <c r="D37" s="31" t="b">
        <f t="shared" si="1"/>
        <v>1</v>
      </c>
      <c r="E37" s="791" t="s">
        <v>1300</v>
      </c>
      <c r="F37" s="1161"/>
      <c r="G37" s="1161"/>
      <c r="H37" s="1161"/>
      <c r="I37" s="1161"/>
      <c r="J37" s="1161"/>
      <c r="K37" s="1161"/>
      <c r="L37" s="1161"/>
      <c r="M37" s="1161"/>
      <c r="N37" s="1162"/>
      <c r="O37" s="1162"/>
      <c r="P37" s="1162"/>
    </row>
    <row r="38" spans="1:16" s="1134" customFormat="1" ht="12" customHeight="1">
      <c r="A38" s="1139"/>
      <c r="B38" s="1106"/>
      <c r="C38" s="790">
        <v>810</v>
      </c>
      <c r="D38" s="31" t="b">
        <f t="shared" si="1"/>
        <v>1</v>
      </c>
      <c r="E38" s="791" t="s">
        <v>1301</v>
      </c>
      <c r="F38" s="1161"/>
      <c r="G38" s="1161"/>
      <c r="H38" s="1161"/>
      <c r="I38" s="1161"/>
      <c r="J38" s="1161"/>
      <c r="K38" s="1161"/>
      <c r="L38" s="1161"/>
      <c r="M38" s="1161"/>
      <c r="N38" s="1162"/>
      <c r="O38" s="1162"/>
      <c r="P38" s="1162"/>
    </row>
    <row r="39" spans="1:16" s="1134" customFormat="1" ht="12" customHeight="1">
      <c r="A39" s="1139"/>
      <c r="B39" s="1106"/>
      <c r="C39" s="790">
        <v>820</v>
      </c>
      <c r="D39" s="31" t="b">
        <f t="shared" si="1"/>
        <v>1</v>
      </c>
      <c r="E39" s="791" t="s">
        <v>1302</v>
      </c>
      <c r="F39" s="1161"/>
      <c r="G39" s="1161"/>
      <c r="H39" s="1161"/>
      <c r="I39" s="1161"/>
      <c r="J39" s="1161"/>
      <c r="K39" s="1161"/>
      <c r="L39" s="1161"/>
      <c r="M39" s="1161"/>
      <c r="N39" s="1162"/>
      <c r="O39" s="1162"/>
      <c r="P39" s="1162"/>
    </row>
    <row r="40" spans="1:16" s="1134" customFormat="1" ht="12" customHeight="1">
      <c r="A40" s="1139"/>
      <c r="B40" s="1106"/>
      <c r="C40" s="790">
        <v>830</v>
      </c>
      <c r="D40" s="31" t="b">
        <f t="shared" si="1"/>
        <v>1</v>
      </c>
      <c r="E40" s="791" t="s">
        <v>1303</v>
      </c>
      <c r="F40" s="1161"/>
      <c r="G40" s="1161"/>
      <c r="H40" s="1161"/>
      <c r="I40" s="1161"/>
      <c r="J40" s="1161"/>
      <c r="K40" s="1161"/>
      <c r="L40" s="1161"/>
      <c r="M40" s="1161"/>
      <c r="N40" s="1162"/>
      <c r="O40" s="1162"/>
      <c r="P40" s="1162"/>
    </row>
    <row r="41" spans="1:16" s="1134" customFormat="1" ht="12" customHeight="1">
      <c r="A41" s="1139"/>
      <c r="B41" s="1106"/>
      <c r="C41" s="790">
        <v>840</v>
      </c>
      <c r="D41" s="31" t="b">
        <f t="shared" si="1"/>
        <v>1</v>
      </c>
      <c r="E41" s="791" t="s">
        <v>1304</v>
      </c>
      <c r="F41" s="1161"/>
      <c r="G41" s="1161"/>
      <c r="H41" s="1161"/>
      <c r="I41" s="1161"/>
      <c r="J41" s="1161"/>
      <c r="K41" s="1161"/>
      <c r="L41" s="1161"/>
      <c r="M41" s="1161"/>
      <c r="N41" s="1162"/>
      <c r="O41" s="1162"/>
      <c r="P41" s="1162"/>
    </row>
    <row r="42" spans="1:16" s="1134" customFormat="1" ht="12" customHeight="1">
      <c r="A42" s="1139"/>
      <c r="B42" s="1106"/>
      <c r="C42" s="790">
        <v>850</v>
      </c>
      <c r="D42" s="31" t="b">
        <f t="shared" si="1"/>
        <v>1</v>
      </c>
      <c r="E42" s="791" t="s">
        <v>1305</v>
      </c>
      <c r="F42" s="1161"/>
      <c r="G42" s="1161"/>
      <c r="H42" s="1161"/>
      <c r="I42" s="1161"/>
      <c r="J42" s="1161"/>
      <c r="K42" s="1161"/>
      <c r="L42" s="1161"/>
      <c r="M42" s="1161"/>
      <c r="N42" s="1162"/>
      <c r="O42" s="1162"/>
      <c r="P42" s="1162"/>
    </row>
    <row r="43" spans="1:16" s="1134" customFormat="1" ht="12" customHeight="1">
      <c r="A43" s="1139"/>
      <c r="B43" s="1106"/>
      <c r="C43" s="790">
        <v>860</v>
      </c>
      <c r="D43" s="31" t="b">
        <f t="shared" si="1"/>
        <v>1</v>
      </c>
      <c r="E43" s="791" t="s">
        <v>169</v>
      </c>
      <c r="F43" s="1161"/>
      <c r="G43" s="1161"/>
      <c r="H43" s="1161"/>
      <c r="I43" s="1161"/>
      <c r="J43" s="1161"/>
      <c r="K43" s="1161"/>
      <c r="L43" s="1161"/>
      <c r="M43" s="1161"/>
      <c r="N43" s="1162"/>
      <c r="O43" s="1162"/>
      <c r="P43" s="1162"/>
    </row>
    <row r="44" spans="1:16" s="1134" customFormat="1" ht="12" customHeight="1">
      <c r="A44" s="1139"/>
      <c r="B44" s="1106"/>
      <c r="C44" s="790">
        <v>870</v>
      </c>
      <c r="D44" s="31" t="b">
        <f t="shared" si="1"/>
        <v>1</v>
      </c>
      <c r="E44" s="791" t="s">
        <v>170</v>
      </c>
      <c r="F44" s="1161"/>
      <c r="G44" s="1161"/>
      <c r="H44" s="1161"/>
      <c r="I44" s="1161"/>
      <c r="J44" s="1161"/>
      <c r="K44" s="1161"/>
      <c r="L44" s="1161"/>
      <c r="M44" s="1161"/>
      <c r="N44" s="1162"/>
      <c r="O44" s="1162"/>
      <c r="P44" s="1162"/>
    </row>
    <row r="45" spans="1:16" s="1134" customFormat="1" ht="12" customHeight="1">
      <c r="A45" s="1139"/>
      <c r="B45" s="1106"/>
      <c r="C45" s="790">
        <v>880</v>
      </c>
      <c r="D45" s="31" t="b">
        <f t="shared" si="1"/>
        <v>1</v>
      </c>
      <c r="E45" s="791" t="s">
        <v>171</v>
      </c>
      <c r="F45" s="1161"/>
      <c r="G45" s="1161"/>
      <c r="H45" s="1161"/>
      <c r="I45" s="1161"/>
      <c r="J45" s="1161"/>
      <c r="K45" s="1161"/>
      <c r="L45" s="1161"/>
      <c r="M45" s="1161"/>
      <c r="N45" s="1162"/>
      <c r="O45" s="1162"/>
      <c r="P45" s="1162"/>
    </row>
    <row r="46" spans="1:16" s="1134" customFormat="1" ht="12" customHeight="1">
      <c r="A46" s="1139"/>
      <c r="B46" s="1106"/>
      <c r="C46" s="790">
        <v>890</v>
      </c>
      <c r="D46" s="31" t="b">
        <f t="shared" si="1"/>
        <v>1</v>
      </c>
      <c r="E46" s="791" t="s">
        <v>172</v>
      </c>
      <c r="F46" s="1161"/>
      <c r="G46" s="1161"/>
      <c r="H46" s="1161"/>
      <c r="I46" s="1161"/>
      <c r="J46" s="1161"/>
      <c r="K46" s="1161"/>
      <c r="L46" s="1161"/>
      <c r="M46" s="1161"/>
      <c r="N46" s="1162"/>
      <c r="O46" s="1162"/>
      <c r="P46" s="1162"/>
    </row>
    <row r="47" spans="1:16" s="1134" customFormat="1" ht="12" customHeight="1">
      <c r="A47" s="1139"/>
      <c r="B47" s="1106"/>
      <c r="C47" s="790">
        <v>900</v>
      </c>
      <c r="D47" s="31" t="b">
        <f t="shared" si="1"/>
        <v>1</v>
      </c>
      <c r="E47" s="791" t="s">
        <v>173</v>
      </c>
      <c r="F47" s="1161"/>
      <c r="G47" s="1161"/>
      <c r="H47" s="1161"/>
      <c r="I47" s="1161"/>
      <c r="J47" s="1161"/>
      <c r="K47" s="1161"/>
      <c r="L47" s="1161"/>
      <c r="M47" s="1161"/>
      <c r="N47" s="1162"/>
      <c r="O47" s="1162"/>
      <c r="P47" s="1162"/>
    </row>
    <row r="48" spans="1:16" s="1134" customFormat="1" ht="12" customHeight="1">
      <c r="A48" s="1139"/>
      <c r="B48" s="1106"/>
      <c r="C48" s="790">
        <v>910</v>
      </c>
      <c r="D48" s="31" t="b">
        <f t="shared" si="1"/>
        <v>1</v>
      </c>
      <c r="E48" s="791" t="s">
        <v>174</v>
      </c>
      <c r="F48" s="1161"/>
      <c r="G48" s="1161"/>
      <c r="H48" s="1161"/>
      <c r="I48" s="1161"/>
      <c r="J48" s="1161"/>
      <c r="K48" s="1161"/>
      <c r="L48" s="1161"/>
      <c r="M48" s="1161"/>
      <c r="N48" s="1162"/>
      <c r="O48" s="1162"/>
      <c r="P48" s="1162"/>
    </row>
    <row r="49" spans="1:16" s="1134" customFormat="1" ht="12" customHeight="1">
      <c r="A49" s="1139"/>
      <c r="B49" s="1106"/>
      <c r="C49" s="790">
        <v>920</v>
      </c>
      <c r="D49" s="31" t="b">
        <f t="shared" si="1"/>
        <v>1</v>
      </c>
      <c r="E49" s="791" t="s">
        <v>175</v>
      </c>
      <c r="F49" s="1161"/>
      <c r="G49" s="1161"/>
      <c r="H49" s="1161"/>
      <c r="I49" s="1161"/>
      <c r="J49" s="1161"/>
      <c r="K49" s="1161"/>
      <c r="L49" s="1161"/>
      <c r="M49" s="1161"/>
      <c r="N49" s="1162"/>
      <c r="O49" s="1162"/>
      <c r="P49" s="1162"/>
    </row>
    <row r="50" spans="1:16" s="1134" customFormat="1" ht="12" customHeight="1">
      <c r="A50" s="1139"/>
      <c r="B50" s="1106"/>
      <c r="C50" s="790">
        <v>930</v>
      </c>
      <c r="D50" s="31" t="b">
        <f t="shared" si="1"/>
        <v>1</v>
      </c>
      <c r="E50" s="791" t="s">
        <v>176</v>
      </c>
      <c r="F50" s="1161"/>
      <c r="G50" s="1161"/>
      <c r="H50" s="1161"/>
      <c r="I50" s="1161"/>
      <c r="J50" s="1161"/>
      <c r="K50" s="1161"/>
      <c r="L50" s="1161"/>
      <c r="M50" s="1161"/>
      <c r="N50" s="1162"/>
      <c r="O50" s="1162"/>
      <c r="P50" s="1162"/>
    </row>
    <row r="51" spans="1:16" s="1134" customFormat="1" ht="12" customHeight="1">
      <c r="A51" s="1139"/>
      <c r="B51" s="1106"/>
      <c r="C51" s="790">
        <v>940</v>
      </c>
      <c r="D51" s="31" t="b">
        <f t="shared" si="1"/>
        <v>1</v>
      </c>
      <c r="E51" s="791" t="s">
        <v>177</v>
      </c>
      <c r="F51" s="1161"/>
      <c r="G51" s="1161"/>
      <c r="H51" s="1161"/>
      <c r="I51" s="1161"/>
      <c r="J51" s="1161"/>
      <c r="K51" s="1161"/>
      <c r="L51" s="1161"/>
      <c r="M51" s="1161"/>
      <c r="N51" s="1162"/>
      <c r="O51" s="1162"/>
      <c r="P51" s="1162"/>
    </row>
    <row r="52" spans="1:16" s="1134" customFormat="1" ht="12" customHeight="1">
      <c r="A52" s="1139"/>
      <c r="B52" s="1106"/>
      <c r="C52" s="790">
        <v>950</v>
      </c>
      <c r="D52" s="31" t="b">
        <f t="shared" si="1"/>
        <v>1</v>
      </c>
      <c r="E52" s="791" t="s">
        <v>178</v>
      </c>
      <c r="F52" s="1161"/>
      <c r="G52" s="1161"/>
      <c r="H52" s="1161"/>
      <c r="I52" s="1161"/>
      <c r="J52" s="1161"/>
      <c r="K52" s="1161"/>
      <c r="L52" s="1161"/>
      <c r="M52" s="1161"/>
      <c r="N52" s="1162"/>
      <c r="O52" s="1162"/>
      <c r="P52" s="1162"/>
    </row>
    <row r="53" spans="1:16" s="1134" customFormat="1" ht="12" customHeight="1">
      <c r="A53" s="1139"/>
      <c r="B53" s="1106"/>
      <c r="C53" s="790">
        <v>960</v>
      </c>
      <c r="D53" s="31" t="b">
        <f t="shared" si="1"/>
        <v>1</v>
      </c>
      <c r="E53" s="791" t="s">
        <v>179</v>
      </c>
      <c r="F53" s="1161"/>
      <c r="G53" s="1161"/>
      <c r="H53" s="1161"/>
      <c r="I53" s="1161"/>
      <c r="J53" s="1161"/>
      <c r="K53" s="1161"/>
      <c r="L53" s="1161"/>
      <c r="M53" s="1161"/>
      <c r="N53" s="1162"/>
      <c r="O53" s="1162"/>
      <c r="P53" s="1162"/>
    </row>
    <row r="54" spans="1:16" s="1134" customFormat="1" ht="12" customHeight="1">
      <c r="A54" s="1139"/>
      <c r="B54" s="1106"/>
      <c r="C54" s="790">
        <v>970</v>
      </c>
      <c r="D54" s="31" t="b">
        <f t="shared" si="1"/>
        <v>1</v>
      </c>
      <c r="E54" s="791" t="s">
        <v>180</v>
      </c>
      <c r="F54" s="1161"/>
      <c r="G54" s="1161"/>
      <c r="H54" s="1161"/>
      <c r="I54" s="1161"/>
      <c r="J54" s="1161"/>
      <c r="K54" s="1161"/>
      <c r="L54" s="1161"/>
      <c r="M54" s="1161"/>
      <c r="N54" s="1162"/>
      <c r="O54" s="1162"/>
      <c r="P54" s="1162"/>
    </row>
    <row r="55" spans="1:16" s="1134" customFormat="1" ht="12" customHeight="1">
      <c r="A55" s="1139"/>
      <c r="B55" s="1106"/>
      <c r="C55" s="790">
        <v>980</v>
      </c>
      <c r="D55" s="31" t="b">
        <f>E26=E3+E6+E7+E10+E19-E20+E21-E22+E23</f>
        <v>1</v>
      </c>
      <c r="E55" s="791" t="s">
        <v>181</v>
      </c>
      <c r="F55" s="1161"/>
      <c r="G55" s="1161"/>
      <c r="H55" s="1161"/>
      <c r="I55" s="1161"/>
      <c r="J55" s="1161"/>
      <c r="K55" s="1161"/>
      <c r="L55" s="1161"/>
      <c r="M55" s="1161"/>
      <c r="N55" s="1162"/>
      <c r="O55" s="1162"/>
      <c r="P55" s="1162"/>
    </row>
    <row r="56" spans="1:16" s="1134" customFormat="1" ht="12" customHeight="1">
      <c r="A56" s="1139"/>
      <c r="B56" s="1106"/>
      <c r="C56" s="790">
        <v>990</v>
      </c>
      <c r="D56" s="31" t="b">
        <f>F26=F3+F6+F7+F10+F19-F20+F21-F22+F23</f>
        <v>1</v>
      </c>
      <c r="E56" s="791" t="s">
        <v>182</v>
      </c>
      <c r="F56" s="1161"/>
      <c r="G56" s="1161"/>
      <c r="H56" s="1161"/>
      <c r="I56" s="1161"/>
      <c r="J56" s="1161"/>
      <c r="K56" s="1161"/>
      <c r="L56" s="1161"/>
      <c r="M56" s="1161"/>
      <c r="N56" s="1162"/>
      <c r="O56" s="1162"/>
      <c r="P56" s="1162"/>
    </row>
    <row r="57" spans="1:16" s="1134" customFormat="1" ht="12" customHeight="1">
      <c r="A57" s="1139"/>
      <c r="B57" s="1106"/>
      <c r="C57" s="790">
        <v>1000</v>
      </c>
      <c r="D57" s="31" t="b">
        <f>G26=G3+G6+G7+G10+G19-G20+G21-G22+G23</f>
        <v>1</v>
      </c>
      <c r="E57" s="791" t="s">
        <v>183</v>
      </c>
      <c r="F57" s="1161"/>
      <c r="G57" s="1161"/>
      <c r="H57" s="1161"/>
      <c r="I57" s="1161"/>
      <c r="J57" s="1161"/>
      <c r="K57" s="1161"/>
      <c r="L57" s="1161"/>
      <c r="M57" s="1161"/>
      <c r="N57" s="1162"/>
      <c r="O57" s="1162"/>
      <c r="P57" s="1162"/>
    </row>
    <row r="58" spans="1:16" s="1134" customFormat="1" ht="12" customHeight="1">
      <c r="A58" s="1139"/>
      <c r="B58" s="1106"/>
      <c r="C58" s="790">
        <v>1010</v>
      </c>
      <c r="D58" s="31" t="b">
        <f>H26=H3+H6+H7+H10+H19-H20+H21-H22+H23</f>
        <v>1</v>
      </c>
      <c r="E58" s="791" t="s">
        <v>184</v>
      </c>
      <c r="F58" s="1161"/>
      <c r="G58" s="1161"/>
      <c r="H58" s="1161"/>
      <c r="I58" s="1161"/>
      <c r="J58" s="1161"/>
      <c r="K58" s="1161"/>
      <c r="L58" s="1161"/>
      <c r="M58" s="1161"/>
      <c r="N58" s="1162"/>
      <c r="O58" s="1162"/>
      <c r="P58" s="1162"/>
    </row>
    <row r="59" spans="1:16" s="1134" customFormat="1" ht="12" customHeight="1">
      <c r="A59" s="1139"/>
      <c r="B59" s="1106"/>
      <c r="C59" s="790">
        <v>1020</v>
      </c>
      <c r="D59" s="31" t="b">
        <f>E27=E26+'1.2'!E22</f>
        <v>1</v>
      </c>
      <c r="E59" s="792" t="s">
        <v>185</v>
      </c>
      <c r="F59" s="1162"/>
      <c r="G59" s="1162"/>
      <c r="H59" s="1161"/>
      <c r="I59" s="1161"/>
      <c r="J59" s="1161"/>
      <c r="K59" s="1161"/>
      <c r="L59" s="1161"/>
      <c r="M59" s="1161"/>
      <c r="N59" s="1162"/>
      <c r="O59" s="1162"/>
      <c r="P59" s="1162"/>
    </row>
    <row r="60" spans="1:16" s="1134" customFormat="1" ht="12" customHeight="1">
      <c r="A60" s="1139"/>
      <c r="B60" s="1106"/>
      <c r="C60" s="790">
        <v>1030</v>
      </c>
      <c r="D60" s="31" t="b">
        <f>F27=F26+'1.2'!F22</f>
        <v>1</v>
      </c>
      <c r="E60" s="792" t="s">
        <v>186</v>
      </c>
      <c r="F60" s="1163"/>
      <c r="G60" s="1163"/>
      <c r="H60" s="1163"/>
      <c r="I60" s="1163"/>
      <c r="J60" s="1163"/>
      <c r="K60" s="1163"/>
      <c r="L60" s="1163"/>
      <c r="M60" s="1163"/>
      <c r="N60" s="1162"/>
      <c r="O60" s="1162"/>
      <c r="P60" s="1162"/>
    </row>
    <row r="61" spans="1:16" s="1134" customFormat="1" ht="12" customHeight="1">
      <c r="A61" s="1139"/>
      <c r="B61" s="1106"/>
      <c r="C61" s="790">
        <v>1040</v>
      </c>
      <c r="D61" s="31" t="b">
        <f>G27=G26+'1.2'!G22</f>
        <v>1</v>
      </c>
      <c r="E61" s="792" t="s">
        <v>187</v>
      </c>
      <c r="F61" s="1161"/>
      <c r="G61" s="1161"/>
      <c r="H61" s="1161"/>
      <c r="I61" s="1161"/>
      <c r="J61" s="1161"/>
      <c r="K61" s="1161"/>
      <c r="L61" s="1161"/>
      <c r="M61" s="1161"/>
      <c r="N61" s="1162"/>
      <c r="O61" s="1162"/>
      <c r="P61" s="1162"/>
    </row>
    <row r="62" spans="1:16" s="1134" customFormat="1" ht="12" customHeight="1">
      <c r="A62" s="1139"/>
      <c r="B62" s="1106"/>
      <c r="C62" s="790">
        <v>1050</v>
      </c>
      <c r="D62" s="31" t="b">
        <f>H27=H26+'1.2'!H22</f>
        <v>1</v>
      </c>
      <c r="E62" s="792" t="s">
        <v>188</v>
      </c>
      <c r="F62" s="1163"/>
      <c r="G62" s="1163"/>
      <c r="H62" s="1163"/>
      <c r="I62" s="1163"/>
      <c r="J62" s="1163"/>
      <c r="K62" s="1163"/>
      <c r="L62" s="1163"/>
      <c r="M62" s="1163"/>
      <c r="N62" s="1162"/>
      <c r="O62" s="1162"/>
      <c r="P62" s="1162"/>
    </row>
    <row r="63" spans="1:16" s="1134" customFormat="1" ht="12" customHeight="1">
      <c r="A63" s="1139"/>
      <c r="B63" s="1106"/>
      <c r="C63" s="790">
        <v>1060</v>
      </c>
      <c r="D63" s="31" t="b">
        <f>E3=E4+E5</f>
        <v>1</v>
      </c>
      <c r="E63" s="791" t="s">
        <v>189</v>
      </c>
      <c r="F63" s="1161"/>
      <c r="G63" s="1161"/>
      <c r="H63" s="1161"/>
      <c r="I63" s="1161"/>
      <c r="J63" s="1161"/>
      <c r="K63" s="1161"/>
      <c r="L63" s="1161"/>
      <c r="M63" s="1161"/>
      <c r="N63" s="1162"/>
      <c r="O63" s="1162"/>
      <c r="P63" s="1162"/>
    </row>
    <row r="64" spans="1:16" s="1134" customFormat="1" ht="12" customHeight="1">
      <c r="A64" s="1139"/>
      <c r="B64" s="1106"/>
      <c r="C64" s="790">
        <v>1070</v>
      </c>
      <c r="D64" s="31" t="b">
        <f>E7=E8+E9</f>
        <v>1</v>
      </c>
      <c r="E64" s="791" t="s">
        <v>190</v>
      </c>
      <c r="F64" s="1161"/>
      <c r="G64" s="1161"/>
      <c r="H64" s="1161"/>
      <c r="I64" s="1161"/>
      <c r="J64" s="1161"/>
      <c r="K64" s="1161"/>
      <c r="L64" s="1161"/>
      <c r="M64" s="1161"/>
      <c r="N64" s="1162"/>
      <c r="O64" s="1162"/>
      <c r="P64" s="1162"/>
    </row>
    <row r="65" spans="1:16" s="1134" customFormat="1" ht="12" customHeight="1">
      <c r="A65" s="1139"/>
      <c r="B65" s="1106"/>
      <c r="C65" s="790">
        <v>1080</v>
      </c>
      <c r="D65" s="31" t="b">
        <f>E10=E11+E12+E13+E14+E15+E16+E17+E18</f>
        <v>1</v>
      </c>
      <c r="E65" s="791" t="s">
        <v>191</v>
      </c>
      <c r="F65" s="1161"/>
      <c r="G65" s="1161"/>
      <c r="H65" s="1161"/>
      <c r="I65" s="1161"/>
      <c r="J65" s="1161"/>
      <c r="K65" s="1161"/>
      <c r="L65" s="1161"/>
      <c r="M65" s="1161"/>
      <c r="N65" s="1162"/>
      <c r="O65" s="1162"/>
      <c r="P65" s="1162"/>
    </row>
    <row r="66" spans="1:16" s="1134" customFormat="1" ht="12" customHeight="1">
      <c r="A66" s="1139"/>
      <c r="B66" s="1106"/>
      <c r="C66" s="790">
        <v>1090</v>
      </c>
      <c r="D66" s="31" t="b">
        <f>E23=E24+E25</f>
        <v>1</v>
      </c>
      <c r="E66" s="791" t="s">
        <v>192</v>
      </c>
      <c r="F66" s="1161"/>
      <c r="G66" s="1161"/>
      <c r="H66" s="1161"/>
      <c r="I66" s="1161"/>
      <c r="J66" s="1161"/>
      <c r="K66" s="1161"/>
      <c r="L66" s="1161"/>
      <c r="M66" s="1161"/>
      <c r="N66" s="1162"/>
      <c r="O66" s="1162"/>
      <c r="P66" s="1162"/>
    </row>
    <row r="67" spans="1:16" s="1134" customFormat="1" ht="12" customHeight="1">
      <c r="A67" s="1139"/>
      <c r="B67" s="1106"/>
      <c r="C67" s="790">
        <v>1100</v>
      </c>
      <c r="D67" s="31" t="b">
        <f>F3=F4+F5</f>
        <v>1</v>
      </c>
      <c r="E67" s="791" t="s">
        <v>193</v>
      </c>
      <c r="F67" s="1161"/>
      <c r="G67" s="1161"/>
      <c r="H67" s="1161"/>
      <c r="I67" s="1161"/>
      <c r="J67" s="1161"/>
      <c r="K67" s="1161"/>
      <c r="L67" s="1161"/>
      <c r="M67" s="1161"/>
      <c r="N67" s="1162"/>
      <c r="O67" s="1162"/>
      <c r="P67" s="1162"/>
    </row>
    <row r="68" spans="1:16" s="1134" customFormat="1" ht="12" customHeight="1">
      <c r="A68" s="1139"/>
      <c r="B68" s="1106"/>
      <c r="C68" s="790">
        <v>1110</v>
      </c>
      <c r="D68" s="31" t="b">
        <f>F7=F8+F9</f>
        <v>1</v>
      </c>
      <c r="E68" s="791" t="s">
        <v>194</v>
      </c>
      <c r="F68" s="1161"/>
      <c r="G68" s="1161"/>
      <c r="H68" s="1161"/>
      <c r="I68" s="1161"/>
      <c r="J68" s="1161"/>
      <c r="K68" s="1161"/>
      <c r="L68" s="1161"/>
      <c r="M68" s="1161"/>
      <c r="N68" s="1162"/>
      <c r="O68" s="1162"/>
      <c r="P68" s="1162"/>
    </row>
    <row r="69" spans="1:16" s="1134" customFormat="1" ht="12" customHeight="1">
      <c r="A69" s="1139"/>
      <c r="B69" s="1106"/>
      <c r="C69" s="790">
        <v>1120</v>
      </c>
      <c r="D69" s="31" t="b">
        <f>F10=F11+F12+F13+F14+F15+F16+F17+F18</f>
        <v>1</v>
      </c>
      <c r="E69" s="791" t="s">
        <v>1328</v>
      </c>
      <c r="F69" s="1161"/>
      <c r="G69" s="1161"/>
      <c r="H69" s="1161"/>
      <c r="I69" s="1161"/>
      <c r="J69" s="1161"/>
      <c r="K69" s="1161"/>
      <c r="L69" s="1161"/>
      <c r="M69" s="1161"/>
      <c r="N69" s="1162"/>
      <c r="O69" s="1162"/>
      <c r="P69" s="1162"/>
    </row>
    <row r="70" spans="1:16" s="1134" customFormat="1" ht="12" customHeight="1">
      <c r="A70" s="1139"/>
      <c r="B70" s="1106"/>
      <c r="C70" s="790">
        <v>1130</v>
      </c>
      <c r="D70" s="31" t="b">
        <f>F23=F24+F25</f>
        <v>1</v>
      </c>
      <c r="E70" s="791" t="s">
        <v>1329</v>
      </c>
      <c r="F70" s="1161"/>
      <c r="G70" s="1161"/>
      <c r="H70" s="1161"/>
      <c r="I70" s="1161"/>
      <c r="J70" s="1161"/>
      <c r="K70" s="1161"/>
      <c r="L70" s="1161"/>
      <c r="M70" s="1161"/>
      <c r="N70" s="1162"/>
      <c r="O70" s="1162"/>
      <c r="P70" s="1162"/>
    </row>
    <row r="71" spans="1:16" s="1134" customFormat="1" ht="12" customHeight="1">
      <c r="A71" s="1139"/>
      <c r="B71" s="1106"/>
      <c r="C71" s="790">
        <v>1140</v>
      </c>
      <c r="D71" s="31" t="b">
        <f>G3=G4+G5</f>
        <v>1</v>
      </c>
      <c r="E71" s="791" t="s">
        <v>1330</v>
      </c>
      <c r="F71" s="1161"/>
      <c r="G71" s="1161"/>
      <c r="H71" s="1161"/>
      <c r="I71" s="1161"/>
      <c r="J71" s="1161"/>
      <c r="K71" s="1161"/>
      <c r="L71" s="1161"/>
      <c r="M71" s="1161"/>
      <c r="N71" s="1162"/>
      <c r="O71" s="1162"/>
      <c r="P71" s="1162"/>
    </row>
    <row r="72" spans="1:16" s="1134" customFormat="1" ht="12" customHeight="1">
      <c r="A72" s="1139"/>
      <c r="B72" s="1106"/>
      <c r="C72" s="790">
        <v>1150</v>
      </c>
      <c r="D72" s="31" t="b">
        <f>G7=G8+G9</f>
        <v>1</v>
      </c>
      <c r="E72" s="791" t="s">
        <v>1331</v>
      </c>
      <c r="F72" s="1161"/>
      <c r="G72" s="1161"/>
      <c r="H72" s="1161"/>
      <c r="I72" s="1161"/>
      <c r="J72" s="1161"/>
      <c r="K72" s="1161"/>
      <c r="L72" s="1161"/>
      <c r="M72" s="1161"/>
      <c r="N72" s="1162"/>
      <c r="O72" s="1162"/>
      <c r="P72" s="1162"/>
    </row>
    <row r="73" spans="1:16" s="1134" customFormat="1" ht="12" customHeight="1">
      <c r="A73" s="1139"/>
      <c r="B73" s="1106"/>
      <c r="C73" s="790">
        <v>1160</v>
      </c>
      <c r="D73" s="31" t="b">
        <f>G10=G11+G12+G13+G14+G15+G16+G17+G18</f>
        <v>1</v>
      </c>
      <c r="E73" s="791" t="s">
        <v>1332</v>
      </c>
      <c r="F73" s="1161"/>
      <c r="G73" s="1161"/>
      <c r="H73" s="1161"/>
      <c r="I73" s="1161"/>
      <c r="J73" s="1161"/>
      <c r="K73" s="1161"/>
      <c r="L73" s="1161"/>
      <c r="M73" s="1161"/>
      <c r="N73" s="1162"/>
      <c r="O73" s="1162"/>
      <c r="P73" s="1162"/>
    </row>
    <row r="74" spans="1:16" s="1134" customFormat="1" ht="12" customHeight="1">
      <c r="A74" s="1139"/>
      <c r="B74" s="1106"/>
      <c r="C74" s="790">
        <v>1170</v>
      </c>
      <c r="D74" s="31" t="b">
        <f>G23=G24+G25</f>
        <v>1</v>
      </c>
      <c r="E74" s="791" t="s">
        <v>1333</v>
      </c>
      <c r="F74" s="1161"/>
      <c r="G74" s="1161"/>
      <c r="H74" s="1161"/>
      <c r="I74" s="1161"/>
      <c r="J74" s="1161"/>
      <c r="K74" s="1161"/>
      <c r="L74" s="1161"/>
      <c r="M74" s="1161"/>
      <c r="N74" s="1162"/>
      <c r="O74" s="1162"/>
      <c r="P74" s="1162"/>
    </row>
    <row r="75" spans="1:16" s="1134" customFormat="1" ht="12" customHeight="1">
      <c r="A75" s="1139"/>
      <c r="B75" s="1106"/>
      <c r="C75" s="790">
        <v>1180</v>
      </c>
      <c r="D75" s="31" t="b">
        <f>H3=H4+H5</f>
        <v>1</v>
      </c>
      <c r="E75" s="791" t="s">
        <v>1334</v>
      </c>
      <c r="F75" s="1161"/>
      <c r="G75" s="1161"/>
      <c r="H75" s="1161"/>
      <c r="I75" s="1161"/>
      <c r="J75" s="1161"/>
      <c r="K75" s="1161"/>
      <c r="L75" s="1161"/>
      <c r="M75" s="1161"/>
      <c r="N75" s="1162"/>
      <c r="O75" s="1162"/>
      <c r="P75" s="1162"/>
    </row>
    <row r="76" spans="1:16" s="1134" customFormat="1" ht="12" customHeight="1">
      <c r="A76" s="1139"/>
      <c r="B76" s="1106"/>
      <c r="C76" s="790">
        <v>1190</v>
      </c>
      <c r="D76" s="31" t="b">
        <f>H7=H8+H9</f>
        <v>1</v>
      </c>
      <c r="E76" s="791" t="s">
        <v>1335</v>
      </c>
      <c r="F76" s="1161"/>
      <c r="G76" s="1161"/>
      <c r="H76" s="1161"/>
      <c r="I76" s="1161"/>
      <c r="J76" s="1161"/>
      <c r="K76" s="1161"/>
      <c r="L76" s="1161"/>
      <c r="M76" s="1161"/>
      <c r="N76" s="1162"/>
      <c r="O76" s="1162"/>
      <c r="P76" s="1162"/>
    </row>
    <row r="77" spans="1:16" s="1134" customFormat="1" ht="12" customHeight="1">
      <c r="A77" s="1139"/>
      <c r="B77" s="1106"/>
      <c r="C77" s="790">
        <v>1200</v>
      </c>
      <c r="D77" s="31" t="b">
        <f>H10=H11+H12+H13+H14+H15+H16+H17+H18</f>
        <v>1</v>
      </c>
      <c r="E77" s="791" t="s">
        <v>1336</v>
      </c>
      <c r="F77" s="1161"/>
      <c r="G77" s="1161"/>
      <c r="H77" s="1161"/>
      <c r="I77" s="1161"/>
      <c r="J77" s="1161"/>
      <c r="K77" s="1161"/>
      <c r="L77" s="1161"/>
      <c r="M77" s="1161"/>
      <c r="N77" s="1162"/>
      <c r="O77" s="1162"/>
      <c r="P77" s="1162"/>
    </row>
    <row r="78" spans="1:16" s="1134" customFormat="1" ht="12" customHeight="1">
      <c r="A78" s="1139"/>
      <c r="B78" s="1106"/>
      <c r="C78" s="790">
        <v>1210</v>
      </c>
      <c r="D78" s="31" t="b">
        <f>H23=H24+H25</f>
        <v>1</v>
      </c>
      <c r="E78" s="791" t="s">
        <v>1337</v>
      </c>
      <c r="F78" s="1161"/>
      <c r="G78" s="1161"/>
      <c r="H78" s="1161"/>
      <c r="I78" s="1161"/>
      <c r="J78" s="1161"/>
      <c r="K78" s="1161"/>
      <c r="L78" s="1161"/>
      <c r="M78" s="1161"/>
      <c r="N78" s="1162"/>
      <c r="O78" s="1162"/>
      <c r="P78" s="1162"/>
    </row>
    <row r="79" spans="1:16" s="1134" customFormat="1" ht="12" customHeight="1">
      <c r="A79" s="1139"/>
      <c r="B79" s="1106"/>
      <c r="C79" s="790">
        <v>1220</v>
      </c>
      <c r="D79" s="31" t="b">
        <f>E26='44.a'!W49</f>
        <v>1</v>
      </c>
      <c r="E79" s="792" t="s">
        <v>8</v>
      </c>
      <c r="F79" s="1164"/>
      <c r="G79" s="1164"/>
      <c r="H79" s="1164"/>
      <c r="I79" s="1164"/>
      <c r="J79" s="1164"/>
      <c r="K79" s="1164"/>
      <c r="L79" s="1164"/>
      <c r="M79" s="1164"/>
      <c r="N79" s="1162"/>
      <c r="O79" s="1162"/>
      <c r="P79" s="1162"/>
    </row>
  </sheetData>
  <customSheetViews>
    <customSheetView guid="{5D819D0C-25F7-408A-B978-F4F86F7655CA}" showPageBreaks="1" showRuler="0" topLeftCell="A10">
      <selection activeCell="B31" sqref="B3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PageBreaks="1" showGridLines="0" showRuler="0" topLeftCell="A27">
      <selection activeCell="C30" sqref="C30:H79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" right="0.28000000000000003" top="0.51" bottom="0.18" header="0.13" footer="0.12"/>
  <pageSetup paperSize="8" scale="110" orientation="portrait" r:id="rId4"/>
  <headerFooter alignWithMargins="0">
    <oddHeader>&amp;C1.3</oddHeader>
  </headerFooter>
  <rowBreaks count="1" manualBreakCount="1">
    <brk id="29" max="1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/>
  </sheetViews>
  <sheetFormatPr defaultRowHeight="12.75"/>
  <cols>
    <col min="1" max="1" width="41.140625" customWidth="1"/>
    <col min="2" max="2" width="11.42578125" customWidth="1"/>
    <col min="4" max="4" width="9.42578125" customWidth="1"/>
    <col min="21" max="21" width="53.7109375" customWidth="1"/>
    <col min="22" max="22" width="50.7109375" customWidth="1"/>
  </cols>
  <sheetData>
    <row r="1" spans="1:5" s="5" customFormat="1" ht="16.5" thickBot="1">
      <c r="A1" s="477" t="s">
        <v>572</v>
      </c>
      <c r="B1" s="279"/>
      <c r="C1" s="279"/>
      <c r="D1" s="279"/>
      <c r="E1" s="279"/>
    </row>
    <row r="2" spans="1:5" ht="65.25" thickBot="1">
      <c r="A2" s="410"/>
      <c r="B2" s="271" t="s">
        <v>137</v>
      </c>
      <c r="C2" s="521"/>
      <c r="D2" s="271" t="s">
        <v>570</v>
      </c>
      <c r="E2" s="271" t="s">
        <v>571</v>
      </c>
    </row>
    <row r="3" spans="1:5" s="2" customFormat="1" ht="15.75" thickBot="1">
      <c r="A3" s="523"/>
      <c r="B3" s="524"/>
      <c r="C3" s="341" t="s">
        <v>1012</v>
      </c>
      <c r="D3" s="283" t="s">
        <v>1013</v>
      </c>
      <c r="E3" s="283" t="s">
        <v>1014</v>
      </c>
    </row>
    <row r="4" spans="1:5" ht="15.75" thickBot="1">
      <c r="A4" s="416" t="s">
        <v>1156</v>
      </c>
      <c r="B4" s="417" t="s">
        <v>1764</v>
      </c>
      <c r="C4" s="66">
        <v>7100</v>
      </c>
      <c r="D4" s="924">
        <v>370</v>
      </c>
      <c r="E4" s="925"/>
    </row>
    <row r="5" spans="1:5" ht="15.75" thickBot="1">
      <c r="A5" s="525" t="s">
        <v>566</v>
      </c>
      <c r="B5" s="417"/>
      <c r="C5" s="68">
        <v>7110</v>
      </c>
      <c r="D5" s="924">
        <f>'2.0'!E75</f>
        <v>800</v>
      </c>
      <c r="E5" s="925"/>
    </row>
    <row r="6" spans="1:5" ht="15.75" thickBot="1">
      <c r="A6" s="525" t="s">
        <v>567</v>
      </c>
      <c r="B6" s="417" t="s">
        <v>1764</v>
      </c>
      <c r="C6" s="68">
        <v>7120</v>
      </c>
      <c r="D6" s="925"/>
      <c r="E6" s="924">
        <v>0.46250000000000002</v>
      </c>
    </row>
    <row r="7" spans="1:5" ht="15.75" thickBot="1">
      <c r="A7" s="416" t="s">
        <v>1157</v>
      </c>
      <c r="B7" s="417" t="s">
        <v>740</v>
      </c>
      <c r="C7" s="68">
        <v>7130</v>
      </c>
      <c r="D7" s="924">
        <v>40</v>
      </c>
      <c r="E7" s="925"/>
    </row>
    <row r="8" spans="1:5" ht="15.75" thickBot="1">
      <c r="A8" s="416" t="s">
        <v>905</v>
      </c>
      <c r="B8" s="417" t="s">
        <v>740</v>
      </c>
      <c r="C8" s="68">
        <v>7140</v>
      </c>
      <c r="D8" s="924">
        <v>60</v>
      </c>
      <c r="E8" s="925"/>
    </row>
    <row r="9" spans="1:5" ht="30.75" thickBot="1">
      <c r="A9" s="416" t="s">
        <v>906</v>
      </c>
      <c r="B9" s="417" t="s">
        <v>740</v>
      </c>
      <c r="C9" s="68">
        <v>7150</v>
      </c>
      <c r="D9" s="924">
        <v>63</v>
      </c>
      <c r="E9" s="925"/>
    </row>
    <row r="10" spans="1:5" ht="30.75" thickBot="1">
      <c r="A10" s="416" t="s">
        <v>907</v>
      </c>
      <c r="B10" s="417" t="s">
        <v>740</v>
      </c>
      <c r="C10" s="68">
        <v>7160</v>
      </c>
      <c r="D10" s="924">
        <v>48</v>
      </c>
      <c r="E10" s="925"/>
    </row>
    <row r="11" spans="1:5" ht="30.75" thickBot="1">
      <c r="A11" s="416" t="s">
        <v>908</v>
      </c>
      <c r="B11" s="417" t="s">
        <v>740</v>
      </c>
      <c r="C11" s="68">
        <v>7170</v>
      </c>
      <c r="D11" s="924">
        <v>59</v>
      </c>
      <c r="E11" s="925"/>
    </row>
    <row r="12" spans="1:5" ht="30.75" thickBot="1">
      <c r="A12" s="416" t="s">
        <v>1686</v>
      </c>
      <c r="B12" s="417" t="s">
        <v>740</v>
      </c>
      <c r="C12" s="68">
        <v>7180</v>
      </c>
      <c r="D12" s="924">
        <v>55</v>
      </c>
      <c r="E12" s="925"/>
    </row>
    <row r="13" spans="1:5" ht="15.75" thickBot="1">
      <c r="A13" s="416" t="s">
        <v>1687</v>
      </c>
      <c r="B13" s="417" t="s">
        <v>740</v>
      </c>
      <c r="C13" s="68">
        <v>7190</v>
      </c>
      <c r="D13" s="924">
        <v>47</v>
      </c>
      <c r="E13" s="925"/>
    </row>
    <row r="14" spans="1:5" ht="30.75" thickBot="1">
      <c r="A14" s="416" t="s">
        <v>1076</v>
      </c>
      <c r="B14" s="417" t="s">
        <v>740</v>
      </c>
      <c r="C14" s="68">
        <v>7200</v>
      </c>
      <c r="D14" s="924">
        <v>50.06</v>
      </c>
      <c r="E14" s="925"/>
    </row>
    <row r="15" spans="1:5" ht="30.75" thickBot="1">
      <c r="A15" s="416" t="s">
        <v>1077</v>
      </c>
      <c r="B15" s="417" t="s">
        <v>740</v>
      </c>
      <c r="C15" s="68">
        <v>7210</v>
      </c>
      <c r="D15" s="924">
        <v>40.5</v>
      </c>
      <c r="E15" s="925"/>
    </row>
    <row r="16" spans="1:5" ht="15.75" thickBot="1">
      <c r="A16" s="416" t="s">
        <v>1078</v>
      </c>
      <c r="B16" s="417" t="s">
        <v>1764</v>
      </c>
      <c r="C16" s="68">
        <v>7220</v>
      </c>
      <c r="D16" s="926">
        <f>D4+D7-D8+D9-D10-D11-D12+D13+D14+D15</f>
        <v>388.56</v>
      </c>
      <c r="E16" s="925"/>
    </row>
    <row r="17" spans="1:5" ht="15.75" thickBot="1">
      <c r="A17" s="525" t="s">
        <v>568</v>
      </c>
      <c r="B17" s="417"/>
      <c r="C17" s="68">
        <v>7230</v>
      </c>
      <c r="D17" s="924">
        <v>800</v>
      </c>
      <c r="E17" s="925"/>
    </row>
    <row r="18" spans="1:5" ht="15.75" thickBot="1">
      <c r="A18" s="525" t="s">
        <v>569</v>
      </c>
      <c r="B18" s="417" t="s">
        <v>1764</v>
      </c>
      <c r="C18" s="70">
        <v>7240</v>
      </c>
      <c r="D18" s="925"/>
      <c r="E18" s="927">
        <v>0.48570000000000002</v>
      </c>
    </row>
    <row r="22" spans="1:5" s="41" customFormat="1" ht="13.5">
      <c r="B22" s="1104"/>
      <c r="C22" s="37">
        <v>10</v>
      </c>
      <c r="D22" s="28" t="b">
        <f>D16=D4+D7-D8+D9-D10-D11-D12+D13+D14+D15</f>
        <v>1</v>
      </c>
      <c r="E22" s="29" t="s">
        <v>2223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5" right="0.75" top="1" bottom="1" header="0.5" footer="0.5"/>
  <pageSetup paperSize="8" scale="140" orientation="portrait" r:id="rId4"/>
  <headerFooter alignWithMargins="0">
    <oddHeader>&amp;C17.0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75" zoomScaleNormal="75" zoomScaleSheetLayoutView="100" workbookViewId="0"/>
  </sheetViews>
  <sheetFormatPr defaultRowHeight="12.75"/>
  <cols>
    <col min="1" max="1" width="35.85546875" customWidth="1"/>
    <col min="2" max="2" width="9.7109375" customWidth="1"/>
    <col min="3" max="3" width="7.7109375" customWidth="1"/>
    <col min="4" max="4" width="8.7109375" customWidth="1"/>
    <col min="10" max="10" width="31" customWidth="1"/>
  </cols>
  <sheetData>
    <row r="1" spans="1:10" s="5" customFormat="1" ht="16.5" thickBot="1">
      <c r="A1" s="308" t="s">
        <v>2164</v>
      </c>
      <c r="B1" s="279"/>
      <c r="C1" s="279"/>
      <c r="D1" s="279"/>
    </row>
    <row r="2" spans="1:10" ht="135.75" customHeight="1" thickBot="1">
      <c r="A2" s="526"/>
      <c r="B2" s="271" t="s">
        <v>2165</v>
      </c>
      <c r="C2" s="402"/>
      <c r="D2" s="271" t="s">
        <v>1136</v>
      </c>
    </row>
    <row r="3" spans="1:10" ht="15.75" thickBot="1">
      <c r="A3" s="527"/>
      <c r="B3" s="528"/>
      <c r="C3" s="452" t="s">
        <v>1012</v>
      </c>
      <c r="D3" s="387" t="s">
        <v>1013</v>
      </c>
    </row>
    <row r="4" spans="1:10" ht="15.75" thickBot="1">
      <c r="A4" s="264" t="s">
        <v>573</v>
      </c>
      <c r="B4" s="461" t="s">
        <v>574</v>
      </c>
      <c r="C4" s="66">
        <v>7100</v>
      </c>
      <c r="D4" s="928">
        <v>150</v>
      </c>
    </row>
    <row r="5" spans="1:10" ht="15.75" thickBot="1">
      <c r="A5" s="264" t="s">
        <v>575</v>
      </c>
      <c r="B5" s="461" t="s">
        <v>576</v>
      </c>
      <c r="C5" s="68">
        <v>7110</v>
      </c>
      <c r="D5" s="928">
        <v>150</v>
      </c>
    </row>
    <row r="6" spans="1:10" ht="15.75" thickBot="1">
      <c r="A6" s="264" t="s">
        <v>577</v>
      </c>
      <c r="B6" s="529">
        <v>161</v>
      </c>
      <c r="C6" s="68">
        <v>7120</v>
      </c>
      <c r="D6" s="928">
        <v>150</v>
      </c>
    </row>
    <row r="7" spans="1:10" ht="30.75" thickBot="1">
      <c r="A7" s="264" t="s">
        <v>2161</v>
      </c>
      <c r="B7" s="529">
        <v>162</v>
      </c>
      <c r="C7" s="68">
        <v>7130</v>
      </c>
      <c r="D7" s="928">
        <v>150</v>
      </c>
    </row>
    <row r="8" spans="1:10" ht="15.75" thickBot="1">
      <c r="A8" s="264" t="s">
        <v>2162</v>
      </c>
      <c r="B8" s="529">
        <v>141</v>
      </c>
      <c r="C8" s="68">
        <v>7140</v>
      </c>
      <c r="D8" s="928">
        <v>150</v>
      </c>
    </row>
    <row r="9" spans="1:10" ht="15.75" thickBot="1">
      <c r="A9" s="264" t="s">
        <v>2163</v>
      </c>
      <c r="B9" s="529">
        <v>143</v>
      </c>
      <c r="C9" s="68">
        <v>7150</v>
      </c>
      <c r="D9" s="928">
        <v>150</v>
      </c>
    </row>
    <row r="10" spans="1:10" ht="15.75" thickBot="1">
      <c r="A10" s="264" t="s">
        <v>1591</v>
      </c>
      <c r="B10" s="461" t="s">
        <v>740</v>
      </c>
      <c r="C10" s="68">
        <v>7160</v>
      </c>
      <c r="D10" s="928">
        <v>100</v>
      </c>
    </row>
    <row r="11" spans="1:10" ht="15.75" thickBot="1">
      <c r="A11" s="429" t="s">
        <v>1059</v>
      </c>
      <c r="B11" s="530"/>
      <c r="C11" s="61">
        <v>7999</v>
      </c>
      <c r="D11" s="929">
        <f>SUM(D4:D10)</f>
        <v>1000</v>
      </c>
      <c r="E11" s="829">
        <f>D11-'1.1'!E21</f>
        <v>0</v>
      </c>
    </row>
    <row r="15" spans="1:10" s="12" customFormat="1" ht="13.5">
      <c r="A15" s="41"/>
      <c r="B15" s="45"/>
      <c r="C15" s="37">
        <v>10</v>
      </c>
      <c r="D15" s="28" t="b">
        <f>D11=SUM(D4:D10)</f>
        <v>1</v>
      </c>
      <c r="E15" s="29" t="s">
        <v>2224</v>
      </c>
      <c r="F15" s="41"/>
      <c r="G15" s="41"/>
      <c r="H15" s="41"/>
      <c r="I15" s="41"/>
      <c r="J15" s="41"/>
    </row>
    <row r="16" spans="1:10" s="12" customFormat="1" ht="13.5">
      <c r="A16" s="41"/>
      <c r="B16" s="45"/>
      <c r="C16" s="37">
        <v>20</v>
      </c>
      <c r="D16" s="28" t="b">
        <f>D11='1.1'!E21</f>
        <v>1</v>
      </c>
      <c r="E16" s="29" t="s">
        <v>2225</v>
      </c>
      <c r="F16" s="41"/>
      <c r="G16" s="41"/>
      <c r="H16" s="41"/>
      <c r="I16" s="41"/>
      <c r="J16" s="41"/>
    </row>
    <row r="17" spans="1:10" s="12" customFormat="1" ht="13.5">
      <c r="A17" s="76"/>
      <c r="B17" s="795"/>
      <c r="C17" s="37">
        <v>30</v>
      </c>
      <c r="D17" s="796"/>
      <c r="E17" s="797"/>
      <c r="F17" s="76"/>
      <c r="G17" s="76"/>
      <c r="H17" s="76"/>
      <c r="I17" s="76"/>
      <c r="J17" s="76"/>
    </row>
    <row r="18" spans="1:10">
      <c r="C18" s="48"/>
      <c r="D18" s="48"/>
      <c r="E18" s="48"/>
      <c r="F18" s="48"/>
      <c r="G18" s="48"/>
      <c r="H18" s="48"/>
      <c r="I18" s="48"/>
      <c r="J18" s="4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200" orientation="landscape" r:id="rId4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Normal="100" zoomScaleSheetLayoutView="100" workbookViewId="0"/>
  </sheetViews>
  <sheetFormatPr defaultRowHeight="12.75"/>
  <cols>
    <col min="1" max="1" width="35.5703125" customWidth="1"/>
    <col min="2" max="2" width="6.85546875" customWidth="1"/>
    <col min="3" max="3" width="12.5703125" customWidth="1"/>
    <col min="4" max="4" width="12.5703125" bestFit="1" customWidth="1"/>
    <col min="6" max="6" width="55.7109375" bestFit="1" customWidth="1"/>
    <col min="7" max="7" width="5" bestFit="1" customWidth="1"/>
    <col min="8" max="8" width="9" bestFit="1" customWidth="1"/>
    <col min="9" max="9" width="22.42578125" bestFit="1" customWidth="1"/>
    <col min="10" max="10" width="33.140625" customWidth="1"/>
    <col min="11" max="11" width="59" customWidth="1"/>
  </cols>
  <sheetData>
    <row r="1" spans="1:4" ht="16.5" thickBot="1">
      <c r="A1" s="242" t="s">
        <v>2172</v>
      </c>
      <c r="B1" s="278"/>
      <c r="C1" s="279"/>
      <c r="D1" s="279"/>
    </row>
    <row r="2" spans="1:4" ht="93" customHeight="1" thickBot="1">
      <c r="A2" s="280"/>
      <c r="B2" s="522"/>
      <c r="C2" s="271" t="s">
        <v>1136</v>
      </c>
      <c r="D2" s="271" t="s">
        <v>427</v>
      </c>
    </row>
    <row r="3" spans="1:4" ht="15.75" thickBot="1">
      <c r="A3" s="365"/>
      <c r="B3" s="341" t="s">
        <v>1012</v>
      </c>
      <c r="C3" s="283" t="s">
        <v>1013</v>
      </c>
      <c r="D3" s="318" t="s">
        <v>1014</v>
      </c>
    </row>
    <row r="4" spans="1:4" ht="30.75" thickBot="1">
      <c r="A4" s="531" t="s">
        <v>1079</v>
      </c>
      <c r="B4" s="66">
        <v>7100</v>
      </c>
      <c r="C4" s="532"/>
      <c r="D4" s="533"/>
    </row>
    <row r="5" spans="1:4" ht="15.75" thickBot="1">
      <c r="A5" s="468" t="s">
        <v>1595</v>
      </c>
      <c r="B5" s="68">
        <v>7110</v>
      </c>
      <c r="C5" s="930">
        <v>119</v>
      </c>
      <c r="D5" s="533"/>
    </row>
    <row r="6" spans="1:4" ht="18.75" customHeight="1" thickBot="1">
      <c r="A6" s="468" t="s">
        <v>473</v>
      </c>
      <c r="B6" s="68">
        <v>7120</v>
      </c>
      <c r="C6" s="930">
        <v>98</v>
      </c>
      <c r="D6" s="533"/>
    </row>
    <row r="7" spans="1:4" ht="15.75" thickBot="1">
      <c r="A7" s="468" t="s">
        <v>2166</v>
      </c>
      <c r="B7" s="68">
        <v>7130</v>
      </c>
      <c r="C7" s="930">
        <v>10</v>
      </c>
      <c r="D7" s="534"/>
    </row>
    <row r="8" spans="1:4" ht="30.75" thickBot="1">
      <c r="A8" s="468" t="s">
        <v>819</v>
      </c>
      <c r="B8" s="68">
        <v>8160</v>
      </c>
      <c r="C8" s="920">
        <v>243</v>
      </c>
      <c r="D8" s="533"/>
    </row>
    <row r="9" spans="1:4" ht="15.75" thickBot="1">
      <c r="A9" s="539" t="s">
        <v>1059</v>
      </c>
      <c r="B9" s="341">
        <v>7199</v>
      </c>
      <c r="C9" s="535">
        <f>C5+C6+C7+C8</f>
        <v>470</v>
      </c>
      <c r="D9" s="533"/>
    </row>
    <row r="10" spans="1:4" ht="15.75" thickBot="1">
      <c r="A10" s="531" t="s">
        <v>1080</v>
      </c>
      <c r="B10" s="66">
        <v>7200</v>
      </c>
      <c r="C10" s="536"/>
      <c r="D10" s="533"/>
    </row>
    <row r="11" spans="1:4" ht="15.75" thickBot="1">
      <c r="A11" s="468" t="s">
        <v>2167</v>
      </c>
      <c r="B11" s="68">
        <v>7210</v>
      </c>
      <c r="C11" s="930">
        <v>83</v>
      </c>
      <c r="D11" s="930">
        <v>20</v>
      </c>
    </row>
    <row r="12" spans="1:4" ht="15.75" thickBot="1">
      <c r="A12" s="468" t="s">
        <v>472</v>
      </c>
      <c r="B12" s="68">
        <v>7220</v>
      </c>
      <c r="C12" s="930">
        <v>83</v>
      </c>
      <c r="D12" s="930">
        <v>20</v>
      </c>
    </row>
    <row r="13" spans="1:4" ht="15.75" thickBot="1">
      <c r="A13" s="468" t="s">
        <v>1595</v>
      </c>
      <c r="B13" s="68">
        <v>7230</v>
      </c>
      <c r="C13" s="930">
        <v>153</v>
      </c>
      <c r="D13" s="930">
        <v>20</v>
      </c>
    </row>
    <row r="14" spans="1:4" ht="60.75" thickBot="1">
      <c r="A14" s="538" t="s">
        <v>820</v>
      </c>
      <c r="B14" s="68">
        <v>7240</v>
      </c>
      <c r="C14" s="930">
        <v>83</v>
      </c>
      <c r="D14" s="930">
        <v>20</v>
      </c>
    </row>
    <row r="15" spans="1:4" ht="15.75" thickBot="1">
      <c r="A15" s="468" t="s">
        <v>2168</v>
      </c>
      <c r="B15" s="68">
        <v>7250</v>
      </c>
      <c r="C15" s="930">
        <v>83</v>
      </c>
      <c r="D15" s="930">
        <v>20</v>
      </c>
    </row>
    <row r="16" spans="1:4" ht="15.75" thickBot="1">
      <c r="A16" s="468" t="s">
        <v>2504</v>
      </c>
      <c r="B16" s="70">
        <v>7260</v>
      </c>
      <c r="C16" s="930">
        <v>45</v>
      </c>
      <c r="D16" s="930">
        <v>20</v>
      </c>
    </row>
    <row r="17" spans="1:10" ht="32.25" customHeight="1" thickBot="1">
      <c r="A17" s="540" t="s">
        <v>2365</v>
      </c>
      <c r="B17" s="341">
        <v>7299</v>
      </c>
      <c r="C17" s="932">
        <f>SUM(C11:C16)</f>
        <v>530</v>
      </c>
      <c r="D17" s="932">
        <f>SUM(D11:D16)</f>
        <v>120</v>
      </c>
    </row>
    <row r="18" spans="1:10" ht="30.75" thickBot="1">
      <c r="A18" s="531" t="s">
        <v>2364</v>
      </c>
      <c r="B18" s="66">
        <v>7300</v>
      </c>
      <c r="C18" s="933"/>
      <c r="D18" s="933"/>
    </row>
    <row r="19" spans="1:10" ht="15.75" thickBot="1">
      <c r="A19" s="468" t="s">
        <v>2169</v>
      </c>
      <c r="B19" s="68">
        <v>7310</v>
      </c>
      <c r="C19" s="930">
        <v>240</v>
      </c>
      <c r="D19" s="930">
        <v>12</v>
      </c>
    </row>
    <row r="20" spans="1:10" ht="15.75" thickBot="1">
      <c r="A20" s="468" t="s">
        <v>2330</v>
      </c>
      <c r="B20" s="68">
        <v>7320</v>
      </c>
      <c r="C20" s="930">
        <v>240</v>
      </c>
      <c r="D20" s="930">
        <v>12</v>
      </c>
    </row>
    <row r="21" spans="1:10" ht="15.75" thickBot="1">
      <c r="A21" s="468" t="s">
        <v>2170</v>
      </c>
      <c r="B21" s="68">
        <v>7330</v>
      </c>
      <c r="C21" s="930">
        <v>240</v>
      </c>
      <c r="D21" s="930">
        <v>12</v>
      </c>
    </row>
    <row r="22" spans="1:10" ht="15.75" thickBot="1">
      <c r="A22" s="468" t="s">
        <v>439</v>
      </c>
      <c r="B22" s="68">
        <v>7340</v>
      </c>
      <c r="C22" s="930">
        <v>240</v>
      </c>
      <c r="D22" s="930">
        <v>12</v>
      </c>
    </row>
    <row r="23" spans="1:10" ht="15.75" thickBot="1">
      <c r="A23" s="468" t="s">
        <v>2171</v>
      </c>
      <c r="B23" s="68">
        <v>7350</v>
      </c>
      <c r="C23" s="930">
        <v>140</v>
      </c>
      <c r="D23" s="930">
        <v>12</v>
      </c>
    </row>
    <row r="24" spans="1:10" ht="15.75" thickBot="1">
      <c r="A24" s="539" t="s">
        <v>864</v>
      </c>
      <c r="B24" s="61">
        <v>7399</v>
      </c>
      <c r="C24" s="932">
        <f>SUM(C19:C23)</f>
        <v>1100</v>
      </c>
      <c r="D24" s="932">
        <f>SUM(D19:D23)</f>
        <v>60</v>
      </c>
    </row>
    <row r="27" spans="1:10">
      <c r="A27" s="799"/>
      <c r="B27" s="102"/>
      <c r="C27" s="18"/>
      <c r="D27" s="18"/>
      <c r="E27" s="48"/>
      <c r="F27" s="48"/>
      <c r="G27" s="48"/>
      <c r="H27" s="48"/>
      <c r="I27" s="48"/>
      <c r="J27" s="48"/>
    </row>
    <row r="28" spans="1:10">
      <c r="A28" s="115"/>
      <c r="B28" s="115"/>
      <c r="C28" s="116"/>
      <c r="D28" s="117"/>
    </row>
    <row r="29" spans="1:10" s="12" customFormat="1" ht="13.5">
      <c r="A29" s="799"/>
      <c r="B29" s="1102"/>
      <c r="C29" s="27">
        <v>10</v>
      </c>
      <c r="D29" s="28" t="b">
        <f>IF(D11,IF(C11&gt;0,TRUE,FALSE),TRUE)</f>
        <v>1</v>
      </c>
      <c r="E29" s="29" t="s">
        <v>2226</v>
      </c>
      <c r="F29" s="41"/>
      <c r="G29" s="41"/>
      <c r="H29" s="41"/>
      <c r="I29" s="41"/>
      <c r="J29" s="41"/>
    </row>
    <row r="30" spans="1:10" s="12" customFormat="1" ht="13.5">
      <c r="A30" s="799"/>
      <c r="B30" s="1102"/>
      <c r="C30" s="27">
        <v>20</v>
      </c>
      <c r="D30" s="28" t="b">
        <f t="shared" ref="D30:D35" si="0">IF(D12,IF(C12&gt;0,TRUE,FALSE),TRUE)</f>
        <v>1</v>
      </c>
      <c r="E30" s="29" t="s">
        <v>2227</v>
      </c>
      <c r="F30" s="41"/>
      <c r="G30" s="41"/>
      <c r="H30" s="41"/>
      <c r="I30" s="41"/>
      <c r="J30" s="41"/>
    </row>
    <row r="31" spans="1:10" s="12" customFormat="1" ht="13.5">
      <c r="A31" s="799"/>
      <c r="B31" s="1102"/>
      <c r="C31" s="27">
        <v>30</v>
      </c>
      <c r="D31" s="28" t="b">
        <f t="shared" si="0"/>
        <v>1</v>
      </c>
      <c r="E31" s="29" t="s">
        <v>2228</v>
      </c>
      <c r="F31" s="41"/>
      <c r="G31" s="41"/>
      <c r="H31" s="41"/>
      <c r="I31" s="41"/>
      <c r="J31" s="41"/>
    </row>
    <row r="32" spans="1:10" s="12" customFormat="1" ht="13.5">
      <c r="A32" s="799"/>
      <c r="B32" s="1102"/>
      <c r="C32" s="27">
        <v>40</v>
      </c>
      <c r="D32" s="28" t="b">
        <f t="shared" si="0"/>
        <v>1</v>
      </c>
      <c r="E32" s="29" t="s">
        <v>2229</v>
      </c>
      <c r="F32" s="41"/>
      <c r="G32" s="41"/>
      <c r="H32" s="41"/>
      <c r="I32" s="41"/>
      <c r="J32" s="41"/>
    </row>
    <row r="33" spans="1:14" s="12" customFormat="1" ht="13.5">
      <c r="A33" s="799"/>
      <c r="B33" s="1102"/>
      <c r="C33" s="27">
        <v>50</v>
      </c>
      <c r="D33" s="28" t="b">
        <f t="shared" si="0"/>
        <v>1</v>
      </c>
      <c r="E33" s="29" t="s">
        <v>2230</v>
      </c>
      <c r="F33" s="41"/>
      <c r="G33" s="41"/>
      <c r="H33" s="41"/>
      <c r="I33" s="41"/>
      <c r="J33" s="41"/>
    </row>
    <row r="34" spans="1:14" s="12" customFormat="1" ht="13.5">
      <c r="A34" s="799"/>
      <c r="B34" s="1102"/>
      <c r="C34" s="27">
        <v>60</v>
      </c>
      <c r="D34" s="28" t="b">
        <f t="shared" si="0"/>
        <v>1</v>
      </c>
      <c r="E34" s="29" t="s">
        <v>2231</v>
      </c>
      <c r="F34" s="41"/>
      <c r="G34" s="41"/>
      <c r="H34" s="41"/>
      <c r="I34" s="41"/>
      <c r="J34" s="41"/>
    </row>
    <row r="35" spans="1:14" s="12" customFormat="1" ht="13.5">
      <c r="A35" s="799"/>
      <c r="B35" s="1102"/>
      <c r="C35" s="27">
        <v>70</v>
      </c>
      <c r="D35" s="28" t="b">
        <f t="shared" si="0"/>
        <v>1</v>
      </c>
      <c r="E35" s="29" t="s">
        <v>2232</v>
      </c>
      <c r="F35" s="41"/>
      <c r="G35" s="41"/>
      <c r="H35" s="41"/>
      <c r="I35" s="41"/>
      <c r="J35" s="41"/>
    </row>
    <row r="36" spans="1:14" s="12" customFormat="1" ht="13.5">
      <c r="A36" s="799"/>
      <c r="B36" s="1102"/>
      <c r="C36" s="27">
        <v>80</v>
      </c>
      <c r="D36" s="28" t="b">
        <f t="shared" ref="D36:D41" si="1">IF(D19,IF(C19&gt;0,TRUE,FALSE),TRUE)</f>
        <v>1</v>
      </c>
      <c r="E36" s="29" t="s">
        <v>2233</v>
      </c>
      <c r="F36" s="41"/>
      <c r="G36" s="41"/>
      <c r="H36" s="41"/>
      <c r="I36" s="41"/>
      <c r="J36" s="41"/>
    </row>
    <row r="37" spans="1:14" s="12" customFormat="1" ht="13.5">
      <c r="A37" s="799"/>
      <c r="B37" s="1102"/>
      <c r="C37" s="27">
        <v>90</v>
      </c>
      <c r="D37" s="28" t="b">
        <f t="shared" si="1"/>
        <v>1</v>
      </c>
      <c r="E37" s="29" t="s">
        <v>2234</v>
      </c>
      <c r="F37" s="41"/>
      <c r="G37" s="41"/>
      <c r="H37" s="41"/>
      <c r="I37" s="41"/>
      <c r="J37" s="41"/>
    </row>
    <row r="38" spans="1:14" s="12" customFormat="1" ht="13.5">
      <c r="A38" s="799"/>
      <c r="B38" s="1102"/>
      <c r="C38" s="27">
        <v>100</v>
      </c>
      <c r="D38" s="28" t="b">
        <f t="shared" si="1"/>
        <v>1</v>
      </c>
      <c r="E38" s="29" t="s">
        <v>2235</v>
      </c>
      <c r="F38" s="41"/>
      <c r="G38" s="41"/>
      <c r="H38" s="41"/>
      <c r="I38" s="41"/>
      <c r="J38" s="41"/>
    </row>
    <row r="39" spans="1:14" s="12" customFormat="1" ht="13.5">
      <c r="A39" s="799"/>
      <c r="B39" s="1102"/>
      <c r="C39" s="27">
        <v>110</v>
      </c>
      <c r="D39" s="28" t="b">
        <f t="shared" si="1"/>
        <v>1</v>
      </c>
      <c r="E39" s="29" t="s">
        <v>2236</v>
      </c>
      <c r="F39" s="41"/>
      <c r="G39" s="41"/>
      <c r="H39" s="41"/>
      <c r="I39" s="41"/>
      <c r="J39" s="41"/>
    </row>
    <row r="40" spans="1:14" s="12" customFormat="1" ht="13.5">
      <c r="A40" s="799"/>
      <c r="B40" s="1102"/>
      <c r="C40" s="27">
        <v>120</v>
      </c>
      <c r="D40" s="28" t="b">
        <f t="shared" si="1"/>
        <v>1</v>
      </c>
      <c r="E40" s="29" t="s">
        <v>2845</v>
      </c>
      <c r="F40" s="41"/>
      <c r="G40" s="41"/>
      <c r="H40" s="41"/>
      <c r="I40" s="41"/>
      <c r="J40" s="41"/>
    </row>
    <row r="41" spans="1:14" s="12" customFormat="1" ht="13.5">
      <c r="A41" s="799"/>
      <c r="B41" s="1102"/>
      <c r="C41" s="27">
        <v>130</v>
      </c>
      <c r="D41" s="28" t="b">
        <f t="shared" si="1"/>
        <v>1</v>
      </c>
      <c r="E41" s="29" t="s">
        <v>2846</v>
      </c>
      <c r="F41" s="41"/>
      <c r="G41" s="41"/>
      <c r="H41" s="41"/>
      <c r="I41" s="41"/>
      <c r="J41" s="41"/>
    </row>
    <row r="42" spans="1:14" s="12" customFormat="1" ht="13.5">
      <c r="A42" s="799"/>
      <c r="B42" s="1102"/>
      <c r="C42" s="1115">
        <v>210</v>
      </c>
      <c r="D42" s="28" t="b">
        <f>C9=SUM(C5:C8)</f>
        <v>1</v>
      </c>
      <c r="E42" s="29" t="s">
        <v>2852</v>
      </c>
      <c r="F42" s="41"/>
      <c r="G42" s="41"/>
      <c r="H42" s="41"/>
      <c r="I42" s="41"/>
      <c r="J42" s="41"/>
      <c r="K42" s="41"/>
      <c r="L42" s="41"/>
      <c r="M42" s="41"/>
      <c r="N42" s="41"/>
    </row>
    <row r="43" spans="1:14" s="12" customFormat="1" ht="13.5">
      <c r="A43" s="799"/>
      <c r="B43" s="1102"/>
      <c r="C43" s="27">
        <v>150</v>
      </c>
      <c r="D43" s="28" t="b">
        <f>C17=SUM(C11:C16)</f>
        <v>1</v>
      </c>
      <c r="E43" s="29" t="s">
        <v>2847</v>
      </c>
      <c r="F43" s="41"/>
      <c r="G43" s="41"/>
      <c r="H43" s="41"/>
      <c r="I43" s="41"/>
      <c r="J43" s="41"/>
      <c r="K43" s="41"/>
      <c r="L43" s="41"/>
      <c r="M43" s="41"/>
      <c r="N43" s="41"/>
    </row>
    <row r="44" spans="1:14" s="12" customFormat="1" ht="13.5">
      <c r="A44" s="799"/>
      <c r="B44" s="1102"/>
      <c r="C44" s="27">
        <v>160</v>
      </c>
      <c r="D44" s="28" t="b">
        <f>D17=SUM(D11:D16)</f>
        <v>1</v>
      </c>
      <c r="E44" s="29" t="s">
        <v>2848</v>
      </c>
      <c r="F44" s="41"/>
      <c r="G44" s="41"/>
      <c r="H44" s="41"/>
      <c r="I44" s="41"/>
      <c r="J44" s="41"/>
      <c r="K44" s="41"/>
      <c r="L44" s="41"/>
      <c r="M44" s="41"/>
      <c r="N44" s="41"/>
    </row>
    <row r="45" spans="1:14" s="12" customFormat="1" ht="13.5">
      <c r="A45" s="799"/>
      <c r="B45" s="1102"/>
      <c r="C45" s="27">
        <v>170</v>
      </c>
      <c r="D45" s="28" t="b">
        <f>C24=SUM(C19:C23)</f>
        <v>1</v>
      </c>
      <c r="E45" s="29" t="s">
        <v>2849</v>
      </c>
      <c r="F45" s="41"/>
      <c r="G45" s="41"/>
      <c r="H45" s="41"/>
      <c r="I45" s="41"/>
      <c r="J45" s="41"/>
      <c r="K45" s="41"/>
      <c r="L45" s="41"/>
      <c r="M45" s="41"/>
      <c r="N45" s="41"/>
    </row>
    <row r="46" spans="1:14" s="12" customFormat="1" ht="13.5">
      <c r="A46" s="799"/>
      <c r="B46" s="1102"/>
      <c r="C46" s="27">
        <v>180</v>
      </c>
      <c r="D46" s="28" t="b">
        <f>D24=SUM(D19:D23)</f>
        <v>1</v>
      </c>
      <c r="E46" s="29" t="s">
        <v>2850</v>
      </c>
      <c r="F46" s="41"/>
      <c r="G46" s="41"/>
      <c r="H46" s="41"/>
      <c r="I46" s="41"/>
      <c r="J46" s="41"/>
      <c r="K46" s="41"/>
      <c r="L46" s="41"/>
      <c r="M46" s="41"/>
      <c r="N46" s="41"/>
    </row>
    <row r="47" spans="1:14" s="12" customFormat="1" ht="13.5">
      <c r="A47" s="799"/>
      <c r="B47" s="1102"/>
      <c r="C47" s="27">
        <v>190</v>
      </c>
      <c r="D47" s="28" t="b">
        <f>C9+C17='1.1'!E22</f>
        <v>1</v>
      </c>
      <c r="E47" s="29" t="s">
        <v>2853</v>
      </c>
      <c r="F47" s="41"/>
      <c r="G47" s="41"/>
      <c r="H47" s="41"/>
      <c r="I47" s="41"/>
      <c r="J47" s="41"/>
      <c r="K47" s="41"/>
      <c r="L47" s="41"/>
      <c r="M47" s="41"/>
      <c r="N47" s="41"/>
    </row>
    <row r="48" spans="1:14" s="12" customFormat="1" ht="13.5">
      <c r="A48" s="799"/>
      <c r="B48" s="1102"/>
      <c r="C48" s="27">
        <v>200</v>
      </c>
      <c r="D48" s="28" t="b">
        <f>C24='1.2'!E20</f>
        <v>1</v>
      </c>
      <c r="E48" s="29" t="s">
        <v>2851</v>
      </c>
      <c r="F48" s="41"/>
      <c r="G48" s="41"/>
      <c r="H48" s="41"/>
      <c r="I48" s="41"/>
      <c r="J48" s="41"/>
    </row>
    <row r="49" spans="1:4">
      <c r="A49" s="109"/>
      <c r="B49" s="118"/>
      <c r="C49" s="119"/>
      <c r="D49" s="119"/>
    </row>
    <row r="50" spans="1:4">
      <c r="A50" s="115"/>
      <c r="B50" s="118"/>
      <c r="C50" s="82"/>
      <c r="D50" s="116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5433070866141736" right="0.35433070866141736" top="0.98425196850393704" bottom="0.98425196850393704" header="0.51181102362204722" footer="0.51181102362204722"/>
  <pageSetup paperSize="8" scale="80" orientation="landscape" r:id="rId4"/>
  <headerFooter alignWithMargins="0">
    <oddHeader xml:space="preserve">&amp;C19.0
</oddHeader>
  </headerFooter>
  <legacyDrawing r:id="rId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Normal="100" zoomScaleSheetLayoutView="100" workbookViewId="0"/>
  </sheetViews>
  <sheetFormatPr defaultRowHeight="12.75"/>
  <cols>
    <col min="1" max="1" width="42.140625" bestFit="1" customWidth="1"/>
    <col min="2" max="2" width="17.85546875" style="14" customWidth="1"/>
    <col min="3" max="3" width="9.5703125" style="14" customWidth="1"/>
    <col min="4" max="4" width="10.140625" customWidth="1"/>
    <col min="5" max="5" width="12.7109375" customWidth="1"/>
    <col min="16" max="16" width="47.140625" customWidth="1"/>
  </cols>
  <sheetData>
    <row r="1" spans="1:5" ht="16.5" thickBot="1">
      <c r="A1" s="477" t="s">
        <v>2262</v>
      </c>
    </row>
    <row r="2" spans="1:5" ht="104.25" customHeight="1" thickBot="1">
      <c r="A2" s="549" t="s">
        <v>311</v>
      </c>
      <c r="B2" s="271" t="s">
        <v>2173</v>
      </c>
      <c r="C2" s="410"/>
      <c r="D2" s="271" t="s">
        <v>2261</v>
      </c>
      <c r="E2" s="279"/>
    </row>
    <row r="3" spans="1:5" s="2" customFormat="1" ht="15.75" thickBot="1">
      <c r="A3" s="523"/>
      <c r="B3" s="524"/>
      <c r="C3" s="341" t="s">
        <v>1134</v>
      </c>
      <c r="D3" s="541" t="s">
        <v>1013</v>
      </c>
      <c r="E3" s="542"/>
    </row>
    <row r="4" spans="1:5" ht="15.75" thickBot="1">
      <c r="A4" s="543" t="s">
        <v>1472</v>
      </c>
      <c r="B4" s="65" t="s">
        <v>740</v>
      </c>
      <c r="C4" s="342">
        <v>7100</v>
      </c>
      <c r="D4" s="941">
        <f>SUM(D5:D8)</f>
        <v>164</v>
      </c>
      <c r="E4" s="279"/>
    </row>
    <row r="5" spans="1:5" ht="15.75" thickBot="1">
      <c r="A5" s="544" t="s">
        <v>2174</v>
      </c>
      <c r="B5" s="65" t="s">
        <v>2175</v>
      </c>
      <c r="C5" s="360">
        <v>7110</v>
      </c>
      <c r="D5" s="941">
        <f>SUM('20.b'!D5:F5)</f>
        <v>41</v>
      </c>
      <c r="E5" s="279"/>
    </row>
    <row r="6" spans="1:5" ht="15.75" thickBot="1">
      <c r="A6" s="544" t="s">
        <v>2176</v>
      </c>
      <c r="B6" s="65" t="s">
        <v>2175</v>
      </c>
      <c r="C6" s="360">
        <v>7120</v>
      </c>
      <c r="D6" s="941">
        <f>SUM('20.b'!D6:F6)</f>
        <v>41</v>
      </c>
      <c r="E6" s="279"/>
    </row>
    <row r="7" spans="1:5" ht="15.75" thickBot="1">
      <c r="A7" s="544" t="s">
        <v>2177</v>
      </c>
      <c r="B7" s="65" t="s">
        <v>2175</v>
      </c>
      <c r="C7" s="360">
        <v>7130</v>
      </c>
      <c r="D7" s="941">
        <f>SUM('20.b'!D7:F7)</f>
        <v>41</v>
      </c>
      <c r="E7" s="279"/>
    </row>
    <row r="8" spans="1:5" ht="15.75" thickBot="1">
      <c r="A8" s="544" t="s">
        <v>2178</v>
      </c>
      <c r="B8" s="65" t="s">
        <v>2175</v>
      </c>
      <c r="C8" s="360">
        <v>7140</v>
      </c>
      <c r="D8" s="941">
        <f>SUM('20.b'!D8:F8)</f>
        <v>41</v>
      </c>
      <c r="E8" s="279"/>
    </row>
    <row r="9" spans="1:5" ht="15.75" thickBot="1">
      <c r="A9" s="543" t="s">
        <v>139</v>
      </c>
      <c r="B9" s="65" t="s">
        <v>2179</v>
      </c>
      <c r="C9" s="360">
        <v>7150</v>
      </c>
      <c r="D9" s="941">
        <f>SUM('20.b'!D9:F9)</f>
        <v>242</v>
      </c>
      <c r="E9" s="391" t="s">
        <v>2180</v>
      </c>
    </row>
    <row r="10" spans="1:5" ht="15.75" thickBot="1">
      <c r="A10" s="543" t="s">
        <v>2181</v>
      </c>
      <c r="B10" s="65" t="s">
        <v>2182</v>
      </c>
      <c r="C10" s="360">
        <v>7160</v>
      </c>
      <c r="D10" s="941">
        <f>SUM(D11:D12)</f>
        <v>92</v>
      </c>
      <c r="E10" s="279"/>
    </row>
    <row r="11" spans="1:5" ht="15.75" thickBot="1">
      <c r="A11" s="544" t="s">
        <v>2183</v>
      </c>
      <c r="B11" s="65" t="s">
        <v>1821</v>
      </c>
      <c r="C11" s="360">
        <v>7170</v>
      </c>
      <c r="D11" s="941">
        <f>SUM('20.b'!D11:F11)</f>
        <v>46</v>
      </c>
      <c r="E11" s="279"/>
    </row>
    <row r="12" spans="1:5" ht="15.75" thickBot="1">
      <c r="A12" s="544" t="s">
        <v>2184</v>
      </c>
      <c r="B12" s="65" t="s">
        <v>740</v>
      </c>
      <c r="C12" s="360">
        <v>7180</v>
      </c>
      <c r="D12" s="941">
        <f>SUM('20.b'!D12:F12)</f>
        <v>46</v>
      </c>
      <c r="E12" s="279"/>
    </row>
    <row r="13" spans="1:5" ht="14.25" customHeight="1" thickBot="1">
      <c r="A13" s="543" t="s">
        <v>2250</v>
      </c>
      <c r="B13" s="65" t="s">
        <v>740</v>
      </c>
      <c r="C13" s="360">
        <v>7190</v>
      </c>
      <c r="D13" s="941">
        <f>SUM(D14:D17)</f>
        <v>164</v>
      </c>
      <c r="E13" s="279"/>
    </row>
    <row r="14" spans="1:5" ht="15.75" thickBot="1">
      <c r="A14" s="544" t="s">
        <v>2174</v>
      </c>
      <c r="B14" s="65" t="s">
        <v>2175</v>
      </c>
      <c r="C14" s="360">
        <v>7200</v>
      </c>
      <c r="D14" s="941">
        <f>SUM('20.b'!D14:F14)</f>
        <v>41</v>
      </c>
      <c r="E14" s="279"/>
    </row>
    <row r="15" spans="1:5" ht="15.75" thickBot="1">
      <c r="A15" s="544" t="s">
        <v>2176</v>
      </c>
      <c r="B15" s="65" t="s">
        <v>2175</v>
      </c>
      <c r="C15" s="360">
        <v>7210</v>
      </c>
      <c r="D15" s="941">
        <f>SUM('20.b'!D15:F15)</f>
        <v>41</v>
      </c>
      <c r="E15" s="279"/>
    </row>
    <row r="16" spans="1:5" ht="15.75" thickBot="1">
      <c r="A16" s="544" t="s">
        <v>2177</v>
      </c>
      <c r="B16" s="65" t="s">
        <v>2175</v>
      </c>
      <c r="C16" s="360">
        <v>7220</v>
      </c>
      <c r="D16" s="941">
        <f>SUM('20.b'!D16:F16)</f>
        <v>41</v>
      </c>
      <c r="E16" s="279"/>
    </row>
    <row r="17" spans="1:5" ht="15.75" thickBot="1">
      <c r="A17" s="544" t="s">
        <v>2178</v>
      </c>
      <c r="B17" s="65" t="s">
        <v>2175</v>
      </c>
      <c r="C17" s="360">
        <v>7230</v>
      </c>
      <c r="D17" s="941">
        <f>SUM('20.b'!D17:F17)</f>
        <v>41</v>
      </c>
      <c r="E17" s="279"/>
    </row>
    <row r="18" spans="1:5" ht="15.75" thickBot="1">
      <c r="A18" s="543" t="s">
        <v>2251</v>
      </c>
      <c r="B18" s="65" t="s">
        <v>2252</v>
      </c>
      <c r="C18" s="360">
        <v>7240</v>
      </c>
      <c r="D18" s="941">
        <f>SUM(D19:D21,D24)</f>
        <v>174</v>
      </c>
      <c r="E18" s="279"/>
    </row>
    <row r="19" spans="1:5" ht="15.75" thickBot="1">
      <c r="A19" s="255" t="s">
        <v>2253</v>
      </c>
      <c r="B19" s="65" t="s">
        <v>740</v>
      </c>
      <c r="C19" s="360">
        <v>7250</v>
      </c>
      <c r="D19" s="941">
        <f>SUM('20.b'!D19:F19)</f>
        <v>41</v>
      </c>
      <c r="E19" s="279"/>
    </row>
    <row r="20" spans="1:5" ht="30.75" thickBot="1">
      <c r="A20" s="255" t="s">
        <v>2254</v>
      </c>
      <c r="B20" s="65" t="s">
        <v>2255</v>
      </c>
      <c r="C20" s="360">
        <v>7260</v>
      </c>
      <c r="D20" s="941">
        <f>SUM('20.b'!D20:F20)</f>
        <v>41</v>
      </c>
      <c r="E20" s="279"/>
    </row>
    <row r="21" spans="1:5" ht="15.75" thickBot="1">
      <c r="A21" s="255" t="s">
        <v>2256</v>
      </c>
      <c r="B21" s="65" t="s">
        <v>740</v>
      </c>
      <c r="C21" s="360">
        <v>7270</v>
      </c>
      <c r="D21" s="941">
        <f>SUM(D22:D23)</f>
        <v>51</v>
      </c>
      <c r="E21" s="279"/>
    </row>
    <row r="22" spans="1:5" ht="30.75" thickBot="1">
      <c r="A22" s="545" t="s">
        <v>2257</v>
      </c>
      <c r="B22" s="65" t="s">
        <v>2258</v>
      </c>
      <c r="C22" s="360">
        <v>7280</v>
      </c>
      <c r="D22" s="941">
        <f>SUM('20.b'!D22:F22)</f>
        <v>41</v>
      </c>
      <c r="E22" s="279"/>
    </row>
    <row r="23" spans="1:5" ht="30.75" thickBot="1">
      <c r="A23" s="545" t="s">
        <v>2259</v>
      </c>
      <c r="B23" s="65" t="s">
        <v>2260</v>
      </c>
      <c r="C23" s="360">
        <v>7290</v>
      </c>
      <c r="D23" s="941">
        <f>SUM('20.b'!D23:F23)</f>
        <v>10</v>
      </c>
      <c r="E23" s="279"/>
    </row>
    <row r="24" spans="1:5" ht="15.75" thickBot="1">
      <c r="A24" s="255" t="s">
        <v>1591</v>
      </c>
      <c r="B24" s="65" t="s">
        <v>740</v>
      </c>
      <c r="C24" s="360">
        <v>7300</v>
      </c>
      <c r="D24" s="941">
        <f>SUM('20.b'!D24:F24)</f>
        <v>41</v>
      </c>
      <c r="E24" s="279"/>
    </row>
    <row r="25" spans="1:5" ht="15.75" thickBot="1">
      <c r="A25" s="543" t="s">
        <v>1475</v>
      </c>
      <c r="B25" s="65" t="s">
        <v>740</v>
      </c>
      <c r="C25" s="428">
        <v>7310</v>
      </c>
      <c r="D25" s="941">
        <v>164</v>
      </c>
      <c r="E25" s="279"/>
    </row>
    <row r="26" spans="1:5" ht="15.75" thickBot="1">
      <c r="A26" s="546" t="s">
        <v>897</v>
      </c>
      <c r="B26" s="547"/>
      <c r="C26" s="474">
        <v>7800</v>
      </c>
      <c r="D26" s="942">
        <v>0</v>
      </c>
      <c r="E26" s="279"/>
    </row>
    <row r="27" spans="1:5" ht="15.75" thickBot="1">
      <c r="A27" s="550" t="s">
        <v>1059</v>
      </c>
      <c r="B27" s="548"/>
      <c r="C27" s="341">
        <v>7999</v>
      </c>
      <c r="D27" s="941">
        <f>SUM(D4,D9,D10,D13,D18,D25)</f>
        <v>1000</v>
      </c>
      <c r="E27" s="829">
        <f>D27-'1.2'!E4</f>
        <v>0</v>
      </c>
    </row>
    <row r="31" spans="1:5" s="12" customFormat="1" ht="13.5">
      <c r="A31" s="41"/>
      <c r="B31" s="45"/>
      <c r="C31" s="37">
        <v>10</v>
      </c>
      <c r="D31" s="28" t="b">
        <f>D4=SUM(D5:D8)</f>
        <v>1</v>
      </c>
      <c r="E31" s="29" t="s">
        <v>2854</v>
      </c>
    </row>
    <row r="32" spans="1:5" s="12" customFormat="1" ht="13.5">
      <c r="A32" s="41"/>
      <c r="B32" s="45"/>
      <c r="C32" s="37">
        <v>20</v>
      </c>
      <c r="D32" s="28" t="b">
        <f>D10=SUM(D11:D12)</f>
        <v>1</v>
      </c>
      <c r="E32" s="29" t="s">
        <v>2855</v>
      </c>
    </row>
    <row r="33" spans="1:11" s="12" customFormat="1" ht="13.5">
      <c r="A33" s="41"/>
      <c r="B33" s="45"/>
      <c r="C33" s="37">
        <v>30</v>
      </c>
      <c r="D33" s="28" t="b">
        <f>D13=SUM(D14:D17)</f>
        <v>1</v>
      </c>
      <c r="E33" s="29" t="s">
        <v>2856</v>
      </c>
    </row>
    <row r="34" spans="1:11" s="12" customFormat="1" ht="13.5">
      <c r="A34" s="41"/>
      <c r="B34" s="45"/>
      <c r="C34" s="37">
        <v>40</v>
      </c>
      <c r="D34" s="28" t="b">
        <f>D18=D19+D20+D21+D24</f>
        <v>1</v>
      </c>
      <c r="E34" s="29" t="s">
        <v>2857</v>
      </c>
    </row>
    <row r="35" spans="1:11" s="12" customFormat="1" ht="13.5">
      <c r="A35" s="41"/>
      <c r="B35" s="45"/>
      <c r="C35" s="37">
        <v>50</v>
      </c>
      <c r="D35" s="28" t="b">
        <f>D21=SUM(D22:D23)</f>
        <v>1</v>
      </c>
      <c r="E35" s="29" t="s">
        <v>2858</v>
      </c>
    </row>
    <row r="36" spans="1:11" s="12" customFormat="1" ht="13.5">
      <c r="A36" s="1118" t="s">
        <v>2969</v>
      </c>
      <c r="B36" s="1123"/>
      <c r="C36" s="1124">
        <v>60</v>
      </c>
      <c r="D36" s="1120" t="b">
        <f>D27=D4+D9+D10+D13+D18+D25</f>
        <v>1</v>
      </c>
      <c r="E36" s="1125" t="s">
        <v>2953</v>
      </c>
      <c r="F36" s="1122"/>
      <c r="G36" s="1122"/>
      <c r="H36" s="1122"/>
      <c r="I36" s="1122"/>
      <c r="J36" s="1122"/>
      <c r="K36" s="1122"/>
    </row>
    <row r="37" spans="1:11" s="12" customFormat="1" ht="13.5">
      <c r="A37" s="41"/>
      <c r="B37" s="45"/>
      <c r="C37" s="37">
        <v>70</v>
      </c>
      <c r="D37" s="28" t="b">
        <f>D4=SUM('20.b'!D4:F4)</f>
        <v>1</v>
      </c>
      <c r="E37" s="29" t="s">
        <v>2859</v>
      </c>
    </row>
    <row r="38" spans="1:11" s="12" customFormat="1" ht="13.5">
      <c r="A38" s="41"/>
      <c r="B38" s="45"/>
      <c r="C38" s="37">
        <v>80</v>
      </c>
      <c r="D38" s="28" t="b">
        <f>D5=SUM('20.b'!D5:F5)</f>
        <v>1</v>
      </c>
      <c r="E38" s="29" t="s">
        <v>2860</v>
      </c>
    </row>
    <row r="39" spans="1:11" s="12" customFormat="1" ht="13.5">
      <c r="A39" s="41"/>
      <c r="B39" s="45"/>
      <c r="C39" s="37">
        <v>90</v>
      </c>
      <c r="D39" s="28" t="b">
        <f>D6=SUM('20.b'!D6:F6)</f>
        <v>1</v>
      </c>
      <c r="E39" s="29" t="s">
        <v>2861</v>
      </c>
    </row>
    <row r="40" spans="1:11" s="12" customFormat="1" ht="13.5">
      <c r="A40" s="41"/>
      <c r="B40" s="45"/>
      <c r="C40" s="37">
        <v>100</v>
      </c>
      <c r="D40" s="28" t="b">
        <f>D7=SUM('20.b'!D7:F7)</f>
        <v>1</v>
      </c>
      <c r="E40" s="29" t="s">
        <v>2862</v>
      </c>
    </row>
    <row r="41" spans="1:11" s="12" customFormat="1" ht="13.5">
      <c r="A41" s="41"/>
      <c r="B41" s="45"/>
      <c r="C41" s="37">
        <v>110</v>
      </c>
      <c r="D41" s="28" t="b">
        <f>D8=SUM('20.b'!D8:F8)</f>
        <v>1</v>
      </c>
      <c r="E41" s="29" t="s">
        <v>2863</v>
      </c>
    </row>
    <row r="42" spans="1:11" s="12" customFormat="1" ht="13.5">
      <c r="A42" s="41"/>
      <c r="B42" s="45"/>
      <c r="C42" s="37">
        <v>120</v>
      </c>
      <c r="D42" s="28" t="b">
        <f>D9=SUM('20.b'!D9:F9)</f>
        <v>1</v>
      </c>
      <c r="E42" s="29" t="s">
        <v>2864</v>
      </c>
    </row>
    <row r="43" spans="1:11" s="12" customFormat="1" ht="13.5">
      <c r="A43" s="41"/>
      <c r="B43" s="45"/>
      <c r="C43" s="37">
        <v>130</v>
      </c>
      <c r="D43" s="28" t="b">
        <f>D10=SUM('20.b'!D10:F10)</f>
        <v>1</v>
      </c>
      <c r="E43" s="29" t="s">
        <v>2865</v>
      </c>
    </row>
    <row r="44" spans="1:11" s="12" customFormat="1" ht="13.5">
      <c r="A44" s="41"/>
      <c r="B44" s="45"/>
      <c r="C44" s="37">
        <v>140</v>
      </c>
      <c r="D44" s="28" t="b">
        <f>D11=SUM('20.b'!D11:F11)</f>
        <v>1</v>
      </c>
      <c r="E44" s="29" t="s">
        <v>2866</v>
      </c>
    </row>
    <row r="45" spans="1:11" s="12" customFormat="1" ht="13.5">
      <c r="A45" s="41"/>
      <c r="B45" s="45"/>
      <c r="C45" s="37">
        <v>150</v>
      </c>
      <c r="D45" s="28" t="b">
        <f>D12=SUM('20.b'!D12:F12)</f>
        <v>1</v>
      </c>
      <c r="E45" s="29" t="s">
        <v>2867</v>
      </c>
    </row>
    <row r="46" spans="1:11" s="12" customFormat="1" ht="13.5">
      <c r="A46" s="41"/>
      <c r="B46" s="45"/>
      <c r="C46" s="37">
        <v>160</v>
      </c>
      <c r="D46" s="28" t="b">
        <f>D13=SUM('20.b'!D13:F13)</f>
        <v>1</v>
      </c>
      <c r="E46" s="29" t="s">
        <v>2868</v>
      </c>
    </row>
    <row r="47" spans="1:11" s="12" customFormat="1" ht="13.5">
      <c r="A47" s="41"/>
      <c r="B47" s="45"/>
      <c r="C47" s="37">
        <v>170</v>
      </c>
      <c r="D47" s="28" t="b">
        <f>D14=SUM('20.b'!D14:F14)</f>
        <v>1</v>
      </c>
      <c r="E47" s="29" t="s">
        <v>2869</v>
      </c>
    </row>
    <row r="48" spans="1:11" s="12" customFormat="1" ht="13.5">
      <c r="A48" s="41"/>
      <c r="B48" s="45"/>
      <c r="C48" s="37">
        <v>180</v>
      </c>
      <c r="D48" s="28" t="b">
        <f>D15=SUM('20.b'!D15:F15)</f>
        <v>1</v>
      </c>
      <c r="E48" s="29" t="s">
        <v>2870</v>
      </c>
    </row>
    <row r="49" spans="1:9" s="12" customFormat="1" ht="13.5">
      <c r="A49" s="41"/>
      <c r="B49" s="45"/>
      <c r="C49" s="37">
        <v>190</v>
      </c>
      <c r="D49" s="28" t="b">
        <f>D16=SUM('20.b'!D16:F16)</f>
        <v>1</v>
      </c>
      <c r="E49" s="29" t="s">
        <v>2871</v>
      </c>
    </row>
    <row r="50" spans="1:9" s="12" customFormat="1" ht="13.5">
      <c r="A50" s="41"/>
      <c r="B50" s="45"/>
      <c r="C50" s="37">
        <v>200</v>
      </c>
      <c r="D50" s="28" t="b">
        <f>D17=SUM('20.b'!D17:F17)</f>
        <v>1</v>
      </c>
      <c r="E50" s="29" t="s">
        <v>2872</v>
      </c>
    </row>
    <row r="51" spans="1:9" s="12" customFormat="1" ht="13.5">
      <c r="A51" s="41"/>
      <c r="B51" s="45"/>
      <c r="C51" s="37">
        <v>210</v>
      </c>
      <c r="D51" s="28" t="b">
        <f>D18=SUM('20.b'!D18:F18)</f>
        <v>1</v>
      </c>
      <c r="E51" s="29" t="s">
        <v>2873</v>
      </c>
    </row>
    <row r="52" spans="1:9" s="12" customFormat="1" ht="13.5">
      <c r="A52" s="41"/>
      <c r="B52" s="45"/>
      <c r="C52" s="37">
        <v>220</v>
      </c>
      <c r="D52" s="28" t="b">
        <f>D19=SUM('20.b'!D19:F19)</f>
        <v>1</v>
      </c>
      <c r="E52" s="29" t="s">
        <v>2300</v>
      </c>
    </row>
    <row r="53" spans="1:9" s="12" customFormat="1" ht="13.5">
      <c r="A53" s="41"/>
      <c r="B53" s="45"/>
      <c r="C53" s="37">
        <v>230</v>
      </c>
      <c r="D53" s="28" t="b">
        <f>D20=SUM('20.b'!D20:F20)</f>
        <v>1</v>
      </c>
      <c r="E53" s="29" t="s">
        <v>2301</v>
      </c>
    </row>
    <row r="54" spans="1:9" s="12" customFormat="1" ht="13.5">
      <c r="A54" s="41"/>
      <c r="B54" s="45"/>
      <c r="C54" s="37">
        <v>240</v>
      </c>
      <c r="D54" s="28" t="b">
        <f>D21=SUM('20.b'!D21:F21)</f>
        <v>1</v>
      </c>
      <c r="E54" s="29" t="s">
        <v>2302</v>
      </c>
    </row>
    <row r="55" spans="1:9" s="12" customFormat="1" ht="13.5">
      <c r="A55" s="41"/>
      <c r="B55" s="45"/>
      <c r="C55" s="37">
        <v>250</v>
      </c>
      <c r="D55" s="28" t="b">
        <f>D22=SUM('20.b'!D22:F22)</f>
        <v>1</v>
      </c>
      <c r="E55" s="29" t="s">
        <v>2303</v>
      </c>
    </row>
    <row r="56" spans="1:9" s="12" customFormat="1" ht="13.5">
      <c r="A56" s="41"/>
      <c r="B56" s="45"/>
      <c r="C56" s="37">
        <v>260</v>
      </c>
      <c r="D56" s="28" t="b">
        <f>D23=SUM('20.b'!D23:F23)</f>
        <v>1</v>
      </c>
      <c r="E56" s="29" t="s">
        <v>2304</v>
      </c>
    </row>
    <row r="57" spans="1:9" s="12" customFormat="1" ht="13.5">
      <c r="A57" s="41"/>
      <c r="B57" s="45"/>
      <c r="C57" s="37">
        <v>270</v>
      </c>
      <c r="D57" s="28" t="b">
        <f>D24=SUM('20.b'!D24:F24)</f>
        <v>1</v>
      </c>
      <c r="E57" s="29" t="s">
        <v>2305</v>
      </c>
    </row>
    <row r="58" spans="1:9" s="12" customFormat="1" ht="13.5">
      <c r="A58" s="1139"/>
      <c r="B58" s="45"/>
      <c r="C58" s="37">
        <v>280</v>
      </c>
      <c r="D58" s="28" t="b">
        <f>D25=SUM('20.b'!D25:F25)</f>
        <v>1</v>
      </c>
      <c r="E58" s="29" t="s">
        <v>2306</v>
      </c>
    </row>
    <row r="59" spans="1:9" s="12" customFormat="1" ht="13.5">
      <c r="A59" s="1135" t="s">
        <v>2969</v>
      </c>
      <c r="B59" s="1123"/>
      <c r="C59" s="1124">
        <v>300</v>
      </c>
      <c r="D59" s="1120" t="b">
        <f>D27=SUM('20.b'!D26:F26)</f>
        <v>1</v>
      </c>
      <c r="E59" s="1125" t="s">
        <v>2954</v>
      </c>
      <c r="F59" s="1122"/>
      <c r="G59" s="1122"/>
      <c r="H59" s="1122"/>
      <c r="I59" s="1122"/>
    </row>
    <row r="60" spans="1:9" s="12" customFormat="1" ht="13.5">
      <c r="A60" s="1139"/>
      <c r="B60" s="45"/>
      <c r="C60" s="37">
        <v>310</v>
      </c>
      <c r="D60" s="28" t="b">
        <f>D27='1.2'!E4</f>
        <v>1</v>
      </c>
      <c r="E60" s="29" t="s">
        <v>2307</v>
      </c>
      <c r="G60"/>
      <c r="H60" s="49"/>
    </row>
    <row r="61" spans="1:9" ht="13.5">
      <c r="A61" s="1135" t="s">
        <v>2969</v>
      </c>
      <c r="B61" s="1128"/>
      <c r="C61" s="1124">
        <v>320</v>
      </c>
      <c r="D61" s="1120" t="b">
        <f>D26=0</f>
        <v>1</v>
      </c>
      <c r="E61" s="1125" t="s">
        <v>2955</v>
      </c>
      <c r="F61" s="1126"/>
      <c r="G61" s="1126"/>
      <c r="H61" s="1126"/>
      <c r="I61" s="1126"/>
    </row>
    <row r="62" spans="1:9" ht="13.5">
      <c r="A62" s="1134"/>
    </row>
    <row r="63" spans="1:9" ht="13.5">
      <c r="A63" s="1134"/>
    </row>
    <row r="64" spans="1:9" ht="13.5">
      <c r="A64" s="1134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3" right="0.36" top="1" bottom="1" header="0.5" footer="0.5"/>
  <pageSetup paperSize="8" scale="130" orientation="portrait" r:id="rId4"/>
  <headerFooter alignWithMargins="0">
    <oddHeader>&amp;C20.A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Normal="100" zoomScaleSheetLayoutView="100" workbookViewId="0"/>
  </sheetViews>
  <sheetFormatPr defaultRowHeight="12.75"/>
  <cols>
    <col min="1" max="1" width="38.28515625" bestFit="1" customWidth="1"/>
    <col min="2" max="2" width="17.85546875" style="13" customWidth="1"/>
    <col min="3" max="3" width="8.85546875" style="13" customWidth="1"/>
    <col min="4" max="4" width="9.5703125" customWidth="1"/>
    <col min="14" max="14" width="48" customWidth="1"/>
  </cols>
  <sheetData>
    <row r="1" spans="1:6" ht="16.5" thickBot="1">
      <c r="A1" s="477" t="s">
        <v>2262</v>
      </c>
      <c r="B1" s="279"/>
      <c r="C1" s="279"/>
      <c r="D1" s="279"/>
      <c r="E1" s="279"/>
      <c r="F1" s="279"/>
    </row>
    <row r="2" spans="1:6" ht="90" customHeight="1" thickBot="1">
      <c r="A2" s="549" t="s">
        <v>312</v>
      </c>
      <c r="B2" s="271" t="s">
        <v>2173</v>
      </c>
      <c r="C2" s="521"/>
      <c r="D2" s="271" t="s">
        <v>2205</v>
      </c>
      <c r="E2" s="271" t="s">
        <v>2206</v>
      </c>
      <c r="F2" s="271" t="s">
        <v>2263</v>
      </c>
    </row>
    <row r="3" spans="1:6" s="2" customFormat="1" ht="14.25" customHeight="1" thickBot="1">
      <c r="A3" s="523"/>
      <c r="B3" s="524"/>
      <c r="C3" s="341" t="s">
        <v>1135</v>
      </c>
      <c r="D3" s="283" t="s">
        <v>1014</v>
      </c>
      <c r="E3" s="283" t="s">
        <v>1015</v>
      </c>
      <c r="F3" s="283" t="s">
        <v>1016</v>
      </c>
    </row>
    <row r="4" spans="1:6" ht="15.75" thickBot="1">
      <c r="A4" s="543" t="s">
        <v>1472</v>
      </c>
      <c r="B4" s="65" t="s">
        <v>740</v>
      </c>
      <c r="C4" s="342">
        <v>7100</v>
      </c>
      <c r="D4" s="941">
        <f>SUM(D5:D8)</f>
        <v>80</v>
      </c>
      <c r="E4" s="941">
        <f>SUM(E5:E8)</f>
        <v>52</v>
      </c>
      <c r="F4" s="941">
        <f>SUM(F5:F8)</f>
        <v>32</v>
      </c>
    </row>
    <row r="5" spans="1:6" ht="17.25" customHeight="1" thickBot="1">
      <c r="A5" s="544" t="s">
        <v>2174</v>
      </c>
      <c r="B5" s="65" t="s">
        <v>2175</v>
      </c>
      <c r="C5" s="360">
        <v>7110</v>
      </c>
      <c r="D5" s="943">
        <v>20</v>
      </c>
      <c r="E5" s="943">
        <v>13</v>
      </c>
      <c r="F5" s="943">
        <v>8</v>
      </c>
    </row>
    <row r="6" spans="1:6" ht="15.75" thickBot="1">
      <c r="A6" s="544" t="s">
        <v>2176</v>
      </c>
      <c r="B6" s="65" t="s">
        <v>2175</v>
      </c>
      <c r="C6" s="360">
        <v>7120</v>
      </c>
      <c r="D6" s="943">
        <v>20</v>
      </c>
      <c r="E6" s="943">
        <v>13</v>
      </c>
      <c r="F6" s="943">
        <v>8</v>
      </c>
    </row>
    <row r="7" spans="1:6" ht="16.5" customHeight="1" thickBot="1">
      <c r="A7" s="544" t="s">
        <v>2177</v>
      </c>
      <c r="B7" s="65" t="s">
        <v>2175</v>
      </c>
      <c r="C7" s="360">
        <v>7130</v>
      </c>
      <c r="D7" s="943">
        <v>20</v>
      </c>
      <c r="E7" s="943">
        <v>13</v>
      </c>
      <c r="F7" s="943">
        <v>8</v>
      </c>
    </row>
    <row r="8" spans="1:6" ht="17.25" customHeight="1" thickBot="1">
      <c r="A8" s="544" t="s">
        <v>2178</v>
      </c>
      <c r="B8" s="65" t="s">
        <v>2175</v>
      </c>
      <c r="C8" s="360">
        <v>7140</v>
      </c>
      <c r="D8" s="943">
        <v>20</v>
      </c>
      <c r="E8" s="943">
        <v>13</v>
      </c>
      <c r="F8" s="943">
        <v>8</v>
      </c>
    </row>
    <row r="9" spans="1:6" ht="15.75" thickBot="1">
      <c r="A9" s="543" t="s">
        <v>139</v>
      </c>
      <c r="B9" s="65" t="s">
        <v>2179</v>
      </c>
      <c r="C9" s="360">
        <v>7150</v>
      </c>
      <c r="D9" s="943">
        <v>125</v>
      </c>
      <c r="E9" s="943">
        <v>67</v>
      </c>
      <c r="F9" s="943">
        <v>50</v>
      </c>
    </row>
    <row r="10" spans="1:6" ht="15.75" thickBot="1">
      <c r="A10" s="543" t="s">
        <v>2181</v>
      </c>
      <c r="B10" s="65" t="s">
        <v>2182</v>
      </c>
      <c r="C10" s="360">
        <v>7160</v>
      </c>
      <c r="D10" s="941">
        <f>SUM(D11:D12)</f>
        <v>40</v>
      </c>
      <c r="E10" s="941">
        <f>SUM(E11:E12)</f>
        <v>32</v>
      </c>
      <c r="F10" s="941">
        <f>SUM(F11:F12)</f>
        <v>20</v>
      </c>
    </row>
    <row r="11" spans="1:6" ht="15.75" thickBot="1">
      <c r="A11" s="255" t="s">
        <v>2183</v>
      </c>
      <c r="B11" s="65" t="s">
        <v>1821</v>
      </c>
      <c r="C11" s="360">
        <v>7170</v>
      </c>
      <c r="D11" s="943">
        <v>20</v>
      </c>
      <c r="E11" s="943">
        <v>16</v>
      </c>
      <c r="F11" s="943">
        <v>10</v>
      </c>
    </row>
    <row r="12" spans="1:6" ht="15.75" thickBot="1">
      <c r="A12" s="255" t="s">
        <v>2184</v>
      </c>
      <c r="B12" s="65" t="s">
        <v>740</v>
      </c>
      <c r="C12" s="360">
        <v>7180</v>
      </c>
      <c r="D12" s="943">
        <v>20</v>
      </c>
      <c r="E12" s="943">
        <v>16</v>
      </c>
      <c r="F12" s="943">
        <v>10</v>
      </c>
    </row>
    <row r="13" spans="1:6" ht="16.5" customHeight="1" thickBot="1">
      <c r="A13" s="543" t="s">
        <v>2250</v>
      </c>
      <c r="B13" s="65" t="s">
        <v>740</v>
      </c>
      <c r="C13" s="360">
        <v>7190</v>
      </c>
      <c r="D13" s="941">
        <f>SUM(D14:D17)</f>
        <v>80</v>
      </c>
      <c r="E13" s="941">
        <f>SUM(E14:E17)</f>
        <v>52</v>
      </c>
      <c r="F13" s="941">
        <f>SUM(F14:F17)</f>
        <v>32</v>
      </c>
    </row>
    <row r="14" spans="1:6" ht="15.75" thickBot="1">
      <c r="A14" s="255" t="s">
        <v>2174</v>
      </c>
      <c r="B14" s="65" t="s">
        <v>2175</v>
      </c>
      <c r="C14" s="360">
        <v>7200</v>
      </c>
      <c r="D14" s="943">
        <v>20</v>
      </c>
      <c r="E14" s="943">
        <v>13</v>
      </c>
      <c r="F14" s="943">
        <v>8</v>
      </c>
    </row>
    <row r="15" spans="1:6" ht="15.75" thickBot="1">
      <c r="A15" s="255" t="s">
        <v>2176</v>
      </c>
      <c r="B15" s="65" t="s">
        <v>2175</v>
      </c>
      <c r="C15" s="360">
        <v>7210</v>
      </c>
      <c r="D15" s="943">
        <v>20</v>
      </c>
      <c r="E15" s="943">
        <v>13</v>
      </c>
      <c r="F15" s="943">
        <v>8</v>
      </c>
    </row>
    <row r="16" spans="1:6" ht="15.75" thickBot="1">
      <c r="A16" s="255" t="s">
        <v>2177</v>
      </c>
      <c r="B16" s="65" t="s">
        <v>2175</v>
      </c>
      <c r="C16" s="360">
        <v>7220</v>
      </c>
      <c r="D16" s="943">
        <v>20</v>
      </c>
      <c r="E16" s="943">
        <v>13</v>
      </c>
      <c r="F16" s="943">
        <v>8</v>
      </c>
    </row>
    <row r="17" spans="1:14" ht="15.75" thickBot="1">
      <c r="A17" s="255" t="s">
        <v>2178</v>
      </c>
      <c r="B17" s="65" t="s">
        <v>2175</v>
      </c>
      <c r="C17" s="360">
        <v>7230</v>
      </c>
      <c r="D17" s="943">
        <v>20</v>
      </c>
      <c r="E17" s="943">
        <v>13</v>
      </c>
      <c r="F17" s="943">
        <v>8</v>
      </c>
    </row>
    <row r="18" spans="1:14" ht="15.75" thickBot="1">
      <c r="A18" s="543" t="s">
        <v>2251</v>
      </c>
      <c r="B18" s="65" t="s">
        <v>159</v>
      </c>
      <c r="C18" s="360">
        <v>7240</v>
      </c>
      <c r="D18" s="941">
        <f>SUM(D19:D21,D24)</f>
        <v>77</v>
      </c>
      <c r="E18" s="941">
        <f>SUM(E19:E21,E24)</f>
        <v>63</v>
      </c>
      <c r="F18" s="941">
        <f>SUM(F19:F21,F24)</f>
        <v>34</v>
      </c>
    </row>
    <row r="19" spans="1:14" ht="15.75" thickBot="1">
      <c r="A19" s="255" t="s">
        <v>2253</v>
      </c>
      <c r="B19" s="65" t="s">
        <v>740</v>
      </c>
      <c r="C19" s="360">
        <v>7250</v>
      </c>
      <c r="D19" s="943">
        <v>18</v>
      </c>
      <c r="E19" s="943">
        <v>15</v>
      </c>
      <c r="F19" s="943">
        <v>8</v>
      </c>
    </row>
    <row r="20" spans="1:14" ht="30.75" thickBot="1">
      <c r="A20" s="255" t="s">
        <v>2254</v>
      </c>
      <c r="B20" s="65" t="s">
        <v>2255</v>
      </c>
      <c r="C20" s="360">
        <v>7260</v>
      </c>
      <c r="D20" s="943">
        <v>18</v>
      </c>
      <c r="E20" s="943">
        <v>15</v>
      </c>
      <c r="F20" s="943">
        <v>8</v>
      </c>
    </row>
    <row r="21" spans="1:14" ht="15.75" thickBot="1">
      <c r="A21" s="255" t="s">
        <v>2256</v>
      </c>
      <c r="B21" s="65" t="s">
        <v>740</v>
      </c>
      <c r="C21" s="360">
        <v>7270</v>
      </c>
      <c r="D21" s="941">
        <f>SUM(D22:D23)</f>
        <v>23</v>
      </c>
      <c r="E21" s="941">
        <f>SUM(E22:E23)</f>
        <v>18</v>
      </c>
      <c r="F21" s="941">
        <f>SUM(F22:F23)</f>
        <v>10</v>
      </c>
    </row>
    <row r="22" spans="1:14" ht="30.75" thickBot="1">
      <c r="A22" s="545" t="s">
        <v>2257</v>
      </c>
      <c r="B22" s="65" t="s">
        <v>2258</v>
      </c>
      <c r="C22" s="360">
        <v>7280</v>
      </c>
      <c r="D22" s="943">
        <v>18</v>
      </c>
      <c r="E22" s="943">
        <v>15</v>
      </c>
      <c r="F22" s="943">
        <v>8</v>
      </c>
    </row>
    <row r="23" spans="1:14" ht="30.75" thickBot="1">
      <c r="A23" s="545" t="s">
        <v>2259</v>
      </c>
      <c r="B23" s="65" t="s">
        <v>2260</v>
      </c>
      <c r="C23" s="360">
        <v>7290</v>
      </c>
      <c r="D23" s="943">
        <v>5</v>
      </c>
      <c r="E23" s="943">
        <v>3</v>
      </c>
      <c r="F23" s="943">
        <v>2</v>
      </c>
    </row>
    <row r="24" spans="1:14" ht="15.75" thickBot="1">
      <c r="A24" s="255" t="s">
        <v>1591</v>
      </c>
      <c r="B24" s="65" t="s">
        <v>740</v>
      </c>
      <c r="C24" s="360">
        <v>7300</v>
      </c>
      <c r="D24" s="943">
        <v>18</v>
      </c>
      <c r="E24" s="943">
        <v>15</v>
      </c>
      <c r="F24" s="943">
        <v>8</v>
      </c>
    </row>
    <row r="25" spans="1:14" ht="15.75" thickBot="1">
      <c r="A25" s="543" t="s">
        <v>1475</v>
      </c>
      <c r="B25" s="65" t="s">
        <v>740</v>
      </c>
      <c r="C25" s="428">
        <v>7310</v>
      </c>
      <c r="D25" s="943">
        <v>98</v>
      </c>
      <c r="E25" s="943">
        <v>34</v>
      </c>
      <c r="F25" s="943">
        <v>32</v>
      </c>
    </row>
    <row r="26" spans="1:14" ht="15.75" thickBot="1">
      <c r="A26" s="550" t="s">
        <v>1059</v>
      </c>
      <c r="B26" s="548"/>
      <c r="C26" s="341">
        <v>7999</v>
      </c>
      <c r="D26" s="941">
        <f>SUM(D4,D9:D10,D13,D18,D25)</f>
        <v>500</v>
      </c>
      <c r="E26" s="941">
        <f>SUM(E4,E9:E10,E13,E18,E25)</f>
        <v>300</v>
      </c>
      <c r="F26" s="941">
        <f>SUM(F4,F9:F10,F13,F18,F25)</f>
        <v>200</v>
      </c>
      <c r="G26" s="829">
        <f>'1.2'!F4</f>
        <v>500</v>
      </c>
      <c r="H26" s="829">
        <f>'1.2'!G4</f>
        <v>300</v>
      </c>
      <c r="I26" s="829">
        <f>'1.2'!H4</f>
        <v>200</v>
      </c>
    </row>
    <row r="30" spans="1:14" s="12" customFormat="1" ht="13.5">
      <c r="A30" s="41"/>
      <c r="B30" s="1102"/>
      <c r="C30" s="37">
        <v>320</v>
      </c>
      <c r="D30" s="28" t="b">
        <f>D26=D4+D9+D10+D13+D18+D25</f>
        <v>1</v>
      </c>
      <c r="E30" s="29" t="s">
        <v>2308</v>
      </c>
      <c r="F30" s="1139"/>
      <c r="G30" s="41"/>
      <c r="H30" s="41"/>
      <c r="I30" s="41"/>
      <c r="J30" s="41"/>
      <c r="K30" s="41"/>
      <c r="L30" s="41"/>
      <c r="M30" s="41"/>
      <c r="N30" s="41"/>
    </row>
    <row r="31" spans="1:14" s="12" customFormat="1" ht="13.5">
      <c r="A31" s="41"/>
      <c r="B31" s="1102"/>
      <c r="C31" s="37">
        <v>330</v>
      </c>
      <c r="D31" s="28" t="b">
        <f>E26=E4+E9+E10+E13+E18+E25</f>
        <v>1</v>
      </c>
      <c r="E31" s="29" t="s">
        <v>2309</v>
      </c>
      <c r="F31" s="1139"/>
      <c r="G31" s="41"/>
      <c r="H31" s="41"/>
      <c r="I31" s="41"/>
      <c r="J31" s="41"/>
      <c r="K31" s="41"/>
      <c r="L31" s="41"/>
      <c r="M31" s="41"/>
      <c r="N31" s="41"/>
    </row>
    <row r="32" spans="1:14" s="12" customFormat="1" ht="13.5">
      <c r="A32" s="41"/>
      <c r="B32" s="1102"/>
      <c r="C32" s="37">
        <v>340</v>
      </c>
      <c r="D32" s="28" t="b">
        <f>F26=F4+F9+F10+F13+F18+F25</f>
        <v>1</v>
      </c>
      <c r="E32" s="29" t="s">
        <v>2310</v>
      </c>
      <c r="F32" s="1139"/>
      <c r="G32" s="41"/>
      <c r="H32" s="41"/>
      <c r="I32" s="41"/>
      <c r="J32" s="41"/>
      <c r="K32" s="41"/>
      <c r="L32" s="41"/>
      <c r="M32" s="41"/>
      <c r="N32" s="41"/>
    </row>
    <row r="33" spans="1:14" s="12" customFormat="1" ht="13.5">
      <c r="A33" s="41"/>
      <c r="B33" s="1102"/>
      <c r="C33" s="37">
        <v>350</v>
      </c>
      <c r="D33" s="28" t="b">
        <f>D18=D19+D20+D21+D24</f>
        <v>1</v>
      </c>
      <c r="E33" s="29" t="s">
        <v>2311</v>
      </c>
      <c r="F33" s="1139"/>
      <c r="G33" s="41"/>
      <c r="H33" s="41"/>
      <c r="I33" s="41"/>
      <c r="J33" s="41"/>
      <c r="K33" s="41"/>
      <c r="L33" s="41"/>
      <c r="M33" s="41"/>
      <c r="N33" s="41"/>
    </row>
    <row r="34" spans="1:14" s="12" customFormat="1" ht="13.5">
      <c r="A34" s="41"/>
      <c r="B34" s="1102"/>
      <c r="C34" s="37">
        <v>360</v>
      </c>
      <c r="D34" s="28" t="b">
        <f>E18=E19+E20+E21+E24</f>
        <v>1</v>
      </c>
      <c r="E34" s="29" t="s">
        <v>2312</v>
      </c>
      <c r="F34" s="1139"/>
      <c r="G34" s="41"/>
      <c r="H34" s="41"/>
      <c r="I34" s="41"/>
      <c r="J34" s="41"/>
      <c r="K34" s="41"/>
      <c r="L34" s="41"/>
      <c r="M34" s="41"/>
      <c r="N34" s="41"/>
    </row>
    <row r="35" spans="1:14" s="12" customFormat="1" ht="13.5">
      <c r="A35" s="41"/>
      <c r="B35" s="1102"/>
      <c r="C35" s="37">
        <v>370</v>
      </c>
      <c r="D35" s="28" t="b">
        <f>F18=F19+F20+F21+F24</f>
        <v>1</v>
      </c>
      <c r="E35" s="29" t="s">
        <v>2313</v>
      </c>
      <c r="F35" s="1139"/>
      <c r="G35" s="41"/>
      <c r="H35" s="41"/>
      <c r="I35" s="41"/>
      <c r="J35" s="41"/>
      <c r="K35" s="41"/>
      <c r="L35" s="41"/>
      <c r="M35" s="41"/>
      <c r="N35" s="41"/>
    </row>
    <row r="36" spans="1:14" s="12" customFormat="1" ht="13.5">
      <c r="A36" s="41"/>
      <c r="B36" s="1102"/>
      <c r="C36" s="37">
        <v>380</v>
      </c>
      <c r="D36" s="28" t="b">
        <f>D4=SUM(D5:D8)</f>
        <v>1</v>
      </c>
      <c r="E36" s="29" t="s">
        <v>2314</v>
      </c>
      <c r="F36" s="1139"/>
      <c r="G36" s="41"/>
      <c r="H36" s="41"/>
      <c r="I36" s="41"/>
      <c r="J36" s="41"/>
      <c r="K36" s="41"/>
      <c r="L36" s="41"/>
      <c r="M36" s="41"/>
      <c r="N36" s="41"/>
    </row>
    <row r="37" spans="1:14" s="12" customFormat="1" ht="13.5">
      <c r="A37" s="41"/>
      <c r="B37" s="1102"/>
      <c r="C37" s="37">
        <v>390</v>
      </c>
      <c r="D37" s="28" t="b">
        <f>E4=SUM(E5:E8)</f>
        <v>1</v>
      </c>
      <c r="E37" s="29" t="s">
        <v>2315</v>
      </c>
      <c r="F37" s="1139"/>
      <c r="G37" s="41"/>
      <c r="H37" s="41"/>
      <c r="I37" s="41"/>
      <c r="J37" s="41"/>
      <c r="K37" s="41"/>
      <c r="L37" s="41"/>
      <c r="M37" s="41"/>
      <c r="N37" s="41"/>
    </row>
    <row r="38" spans="1:14" s="12" customFormat="1" ht="13.5">
      <c r="A38" s="41"/>
      <c r="B38" s="1102"/>
      <c r="C38" s="37">
        <v>400</v>
      </c>
      <c r="D38" s="28" t="b">
        <f>F4=SUM(F5:F8)</f>
        <v>1</v>
      </c>
      <c r="E38" s="29" t="s">
        <v>2316</v>
      </c>
      <c r="F38" s="1139"/>
      <c r="G38" s="41"/>
      <c r="H38" s="41"/>
      <c r="I38" s="41"/>
      <c r="J38" s="41"/>
      <c r="K38" s="41"/>
      <c r="L38" s="41"/>
      <c r="M38" s="41"/>
      <c r="N38" s="41"/>
    </row>
    <row r="39" spans="1:14" s="12" customFormat="1" ht="13.5">
      <c r="A39" s="41"/>
      <c r="B39" s="1102"/>
      <c r="C39" s="37">
        <v>410</v>
      </c>
      <c r="D39" s="28" t="b">
        <f>D10=D11+D12</f>
        <v>1</v>
      </c>
      <c r="E39" s="29" t="s">
        <v>2317</v>
      </c>
      <c r="F39" s="1139"/>
      <c r="G39" s="41"/>
      <c r="H39" s="41"/>
      <c r="I39" s="41"/>
      <c r="J39" s="41"/>
      <c r="K39" s="41"/>
      <c r="L39" s="41"/>
      <c r="M39" s="41"/>
      <c r="N39" s="41"/>
    </row>
    <row r="40" spans="1:14" s="12" customFormat="1" ht="13.5">
      <c r="A40" s="41"/>
      <c r="B40" s="1102"/>
      <c r="C40" s="37">
        <v>420</v>
      </c>
      <c r="D40" s="28" t="b">
        <f>E10=E11+E12</f>
        <v>1</v>
      </c>
      <c r="E40" s="29" t="s">
        <v>2405</v>
      </c>
      <c r="F40" s="1139"/>
      <c r="G40" s="41"/>
      <c r="H40" s="41"/>
      <c r="I40" s="41"/>
      <c r="J40" s="41"/>
      <c r="K40" s="41"/>
      <c r="L40" s="41"/>
      <c r="M40" s="41"/>
      <c r="N40" s="41"/>
    </row>
    <row r="41" spans="1:14" s="12" customFormat="1" ht="13.5">
      <c r="A41" s="41"/>
      <c r="B41" s="1102"/>
      <c r="C41" s="37">
        <v>430</v>
      </c>
      <c r="D41" s="28" t="b">
        <f>F10=F11+F12</f>
        <v>1</v>
      </c>
      <c r="E41" s="29" t="s">
        <v>2406</v>
      </c>
      <c r="F41" s="1139"/>
      <c r="G41" s="41"/>
      <c r="H41" s="41"/>
      <c r="I41" s="41"/>
      <c r="J41" s="41"/>
      <c r="K41" s="41"/>
      <c r="L41" s="41"/>
      <c r="M41" s="41"/>
      <c r="N41" s="41"/>
    </row>
    <row r="42" spans="1:14" s="12" customFormat="1" ht="13.5">
      <c r="A42" s="41"/>
      <c r="B42" s="1102"/>
      <c r="C42" s="37">
        <v>440</v>
      </c>
      <c r="D42" s="28" t="b">
        <f>D13=SUM(D14:D17)</f>
        <v>1</v>
      </c>
      <c r="E42" s="29" t="s">
        <v>2407</v>
      </c>
      <c r="F42" s="1139"/>
      <c r="G42" s="41"/>
      <c r="H42" s="41"/>
      <c r="I42" s="41"/>
      <c r="J42" s="41"/>
      <c r="K42" s="41"/>
      <c r="L42" s="41"/>
      <c r="M42" s="41"/>
      <c r="N42" s="41"/>
    </row>
    <row r="43" spans="1:14" s="12" customFormat="1" ht="13.5">
      <c r="A43" s="41"/>
      <c r="B43" s="1102"/>
      <c r="C43" s="37">
        <v>450</v>
      </c>
      <c r="D43" s="28" t="b">
        <f>E13=SUM(E14:E17)</f>
        <v>1</v>
      </c>
      <c r="E43" s="29" t="s">
        <v>2408</v>
      </c>
      <c r="F43" s="1139"/>
      <c r="G43" s="41"/>
      <c r="H43" s="41"/>
      <c r="I43" s="41"/>
      <c r="J43" s="41"/>
      <c r="K43" s="41"/>
      <c r="L43" s="41"/>
      <c r="M43" s="41"/>
      <c r="N43" s="41"/>
    </row>
    <row r="44" spans="1:14" s="12" customFormat="1" ht="13.5">
      <c r="A44" s="41"/>
      <c r="B44" s="1102"/>
      <c r="C44" s="37">
        <v>460</v>
      </c>
      <c r="D44" s="28" t="b">
        <f>F13=SUM(F14:F17)</f>
        <v>1</v>
      </c>
      <c r="E44" s="29" t="s">
        <v>2409</v>
      </c>
      <c r="F44" s="1139"/>
      <c r="G44" s="41"/>
      <c r="H44" s="41"/>
      <c r="I44" s="41"/>
      <c r="J44" s="41"/>
      <c r="K44" s="41"/>
      <c r="L44" s="41"/>
      <c r="M44" s="41"/>
      <c r="N44" s="41"/>
    </row>
    <row r="45" spans="1:14" s="12" customFormat="1" ht="13.5">
      <c r="A45" s="41"/>
      <c r="B45" s="1102"/>
      <c r="C45" s="37">
        <v>470</v>
      </c>
      <c r="D45" s="28" t="b">
        <f>D21=D22+D23</f>
        <v>1</v>
      </c>
      <c r="E45" s="29" t="s">
        <v>2410</v>
      </c>
      <c r="F45" s="1139"/>
      <c r="G45" s="41"/>
      <c r="H45" s="41"/>
      <c r="I45" s="41"/>
      <c r="J45" s="41"/>
      <c r="K45" s="41"/>
      <c r="L45" s="41"/>
      <c r="M45" s="41"/>
      <c r="N45" s="41"/>
    </row>
    <row r="46" spans="1:14" s="12" customFormat="1" ht="13.5">
      <c r="A46" s="41"/>
      <c r="B46" s="1102"/>
      <c r="C46" s="37">
        <v>480</v>
      </c>
      <c r="D46" s="28" t="b">
        <f>E21=E22+E23</f>
        <v>1</v>
      </c>
      <c r="E46" s="29" t="s">
        <v>2411</v>
      </c>
      <c r="F46" s="1139"/>
      <c r="G46" s="41"/>
      <c r="H46" s="41"/>
      <c r="I46" s="41"/>
      <c r="J46" s="41"/>
      <c r="K46" s="41"/>
      <c r="L46" s="41"/>
      <c r="M46" s="41"/>
      <c r="N46" s="41"/>
    </row>
    <row r="47" spans="1:14" s="12" customFormat="1" ht="13.5">
      <c r="A47" s="41"/>
      <c r="B47" s="1102"/>
      <c r="C47" s="37">
        <v>490</v>
      </c>
      <c r="D47" s="28" t="b">
        <f>F21=F22+F23</f>
        <v>1</v>
      </c>
      <c r="E47" s="29" t="s">
        <v>2412</v>
      </c>
      <c r="F47" s="1139"/>
      <c r="G47" s="41"/>
      <c r="H47" s="41"/>
      <c r="I47" s="41"/>
      <c r="J47" s="41"/>
      <c r="K47" s="41"/>
      <c r="L47" s="41"/>
      <c r="M47" s="41"/>
      <c r="N47" s="41"/>
    </row>
    <row r="48" spans="1:14">
      <c r="C48" s="5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1.01" right="0.23" top="1" bottom="1" header="0.5" footer="0.5"/>
  <pageSetup paperSize="8" scale="133" orientation="landscape" r:id="rId4"/>
  <headerFooter alignWithMargins="0">
    <oddHeader>&amp;C20.B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Normal="100" zoomScaleSheetLayoutView="100" workbookViewId="0"/>
  </sheetViews>
  <sheetFormatPr defaultRowHeight="12.75"/>
  <cols>
    <col min="1" max="1" width="52.140625" customWidth="1"/>
    <col min="2" max="2" width="13.5703125" customWidth="1"/>
    <col min="3" max="3" width="9.7109375" customWidth="1"/>
    <col min="4" max="4" width="12.42578125" customWidth="1"/>
    <col min="5" max="6" width="11.42578125" customWidth="1"/>
    <col min="17" max="17" width="15.7109375" customWidth="1"/>
  </cols>
  <sheetData>
    <row r="1" spans="1:6" s="5" customFormat="1" ht="16.5" thickBot="1">
      <c r="A1" s="477" t="s">
        <v>452</v>
      </c>
      <c r="B1" s="279"/>
      <c r="C1" s="279"/>
      <c r="D1" s="279"/>
      <c r="E1" s="279"/>
      <c r="F1" s="279"/>
    </row>
    <row r="2" spans="1:6" ht="211.5" customHeight="1" thickBot="1">
      <c r="A2" s="277" t="s">
        <v>2264</v>
      </c>
      <c r="B2" s="521"/>
      <c r="C2" s="521"/>
      <c r="D2" s="271" t="s">
        <v>1136</v>
      </c>
      <c r="E2" s="271" t="s">
        <v>2265</v>
      </c>
      <c r="F2" s="271" t="s">
        <v>463</v>
      </c>
    </row>
    <row r="3" spans="1:6" ht="30.75" thickBot="1">
      <c r="A3" s="553"/>
      <c r="B3" s="554" t="s">
        <v>2173</v>
      </c>
      <c r="C3" s="552"/>
      <c r="D3" s="554" t="s">
        <v>464</v>
      </c>
      <c r="E3" s="554" t="s">
        <v>465</v>
      </c>
      <c r="F3" s="554" t="s">
        <v>466</v>
      </c>
    </row>
    <row r="4" spans="1:6" ht="15.75" thickBot="1">
      <c r="A4" s="523"/>
      <c r="B4" s="524"/>
      <c r="C4" s="341" t="s">
        <v>1134</v>
      </c>
      <c r="D4" s="541" t="s">
        <v>1013</v>
      </c>
      <c r="E4" s="541" t="s">
        <v>1014</v>
      </c>
      <c r="F4" s="541" t="s">
        <v>1015</v>
      </c>
    </row>
    <row r="5" spans="1:6" ht="14.25" customHeight="1" thickBot="1">
      <c r="A5" s="543" t="s">
        <v>1472</v>
      </c>
      <c r="B5" s="487"/>
      <c r="C5" s="332">
        <v>7100</v>
      </c>
      <c r="D5" s="941">
        <f>SUM(D6:D9)</f>
        <v>220</v>
      </c>
      <c r="E5" s="941">
        <f>SUM(E6:E9)</f>
        <v>24</v>
      </c>
      <c r="F5" s="941">
        <f>SUM(F6:F9)</f>
        <v>8</v>
      </c>
    </row>
    <row r="6" spans="1:6" ht="15.75" thickBot="1">
      <c r="A6" s="255" t="s">
        <v>2174</v>
      </c>
      <c r="B6" s="65" t="s">
        <v>2175</v>
      </c>
      <c r="C6" s="360">
        <v>7110</v>
      </c>
      <c r="D6" s="943">
        <v>55</v>
      </c>
      <c r="E6" s="943">
        <v>6</v>
      </c>
      <c r="F6" s="943">
        <v>2</v>
      </c>
    </row>
    <row r="7" spans="1:6" ht="15.75" thickBot="1">
      <c r="A7" s="255" t="s">
        <v>2176</v>
      </c>
      <c r="B7" s="65" t="s">
        <v>2175</v>
      </c>
      <c r="C7" s="360">
        <v>7120</v>
      </c>
      <c r="D7" s="943">
        <v>55</v>
      </c>
      <c r="E7" s="943">
        <v>6</v>
      </c>
      <c r="F7" s="943">
        <v>2</v>
      </c>
    </row>
    <row r="8" spans="1:6" ht="15.75" thickBot="1">
      <c r="A8" s="255" t="s">
        <v>2177</v>
      </c>
      <c r="B8" s="65" t="s">
        <v>2175</v>
      </c>
      <c r="C8" s="360">
        <v>7130</v>
      </c>
      <c r="D8" s="943">
        <v>55</v>
      </c>
      <c r="E8" s="943">
        <v>6</v>
      </c>
      <c r="F8" s="943">
        <v>2</v>
      </c>
    </row>
    <row r="9" spans="1:6" ht="15.75" thickBot="1">
      <c r="A9" s="255" t="s">
        <v>2178</v>
      </c>
      <c r="B9" s="65" t="s">
        <v>2175</v>
      </c>
      <c r="C9" s="360">
        <v>7140</v>
      </c>
      <c r="D9" s="943">
        <v>55</v>
      </c>
      <c r="E9" s="943">
        <v>6</v>
      </c>
      <c r="F9" s="943">
        <v>2</v>
      </c>
    </row>
    <row r="10" spans="1:6" ht="15.75" thickBot="1">
      <c r="A10" s="543" t="s">
        <v>467</v>
      </c>
      <c r="B10" s="461"/>
      <c r="C10" s="360">
        <v>7150</v>
      </c>
      <c r="D10" s="941">
        <f>SUM(D11:D14)</f>
        <v>220</v>
      </c>
      <c r="E10" s="941">
        <f>SUM(E11:E14)</f>
        <v>24</v>
      </c>
      <c r="F10" s="941">
        <f>SUM(F11:F14)</f>
        <v>8</v>
      </c>
    </row>
    <row r="11" spans="1:6" ht="15.75" thickBot="1">
      <c r="A11" s="255" t="s">
        <v>2174</v>
      </c>
      <c r="B11" s="65" t="s">
        <v>2175</v>
      </c>
      <c r="C11" s="360">
        <v>7160</v>
      </c>
      <c r="D11" s="943">
        <v>55</v>
      </c>
      <c r="E11" s="943">
        <v>6</v>
      </c>
      <c r="F11" s="943">
        <v>2</v>
      </c>
    </row>
    <row r="12" spans="1:6" ht="15.75" thickBot="1">
      <c r="A12" s="255" t="s">
        <v>2176</v>
      </c>
      <c r="B12" s="65" t="s">
        <v>2175</v>
      </c>
      <c r="C12" s="360">
        <v>7170</v>
      </c>
      <c r="D12" s="943">
        <v>55</v>
      </c>
      <c r="E12" s="943">
        <v>6</v>
      </c>
      <c r="F12" s="943">
        <v>2</v>
      </c>
    </row>
    <row r="13" spans="1:6" ht="15.75" thickBot="1">
      <c r="A13" s="255" t="s">
        <v>2177</v>
      </c>
      <c r="B13" s="65" t="s">
        <v>2175</v>
      </c>
      <c r="C13" s="360">
        <v>7180</v>
      </c>
      <c r="D13" s="943">
        <v>55</v>
      </c>
      <c r="E13" s="943">
        <v>6</v>
      </c>
      <c r="F13" s="943">
        <v>2</v>
      </c>
    </row>
    <row r="14" spans="1:6" ht="15.75" thickBot="1">
      <c r="A14" s="255" t="s">
        <v>2178</v>
      </c>
      <c r="B14" s="65" t="s">
        <v>2175</v>
      </c>
      <c r="C14" s="360">
        <v>7190</v>
      </c>
      <c r="D14" s="943">
        <v>55</v>
      </c>
      <c r="E14" s="943">
        <v>6</v>
      </c>
      <c r="F14" s="943">
        <v>2</v>
      </c>
    </row>
    <row r="15" spans="1:6" ht="15.75" thickBot="1">
      <c r="A15" s="543" t="s">
        <v>2251</v>
      </c>
      <c r="B15" s="461" t="s">
        <v>740</v>
      </c>
      <c r="C15" s="360">
        <v>7200</v>
      </c>
      <c r="D15" s="941">
        <f>SUM(D16:D18,D21)</f>
        <v>420</v>
      </c>
      <c r="E15" s="941">
        <f>SUM(E16:E18,E21)</f>
        <v>39</v>
      </c>
      <c r="F15" s="941">
        <f>SUM(F16:F18,F21)</f>
        <v>23</v>
      </c>
    </row>
    <row r="16" spans="1:6" ht="15.75" thickBot="1">
      <c r="A16" s="255" t="s">
        <v>2253</v>
      </c>
      <c r="B16" s="65" t="s">
        <v>740</v>
      </c>
      <c r="C16" s="360">
        <v>7210</v>
      </c>
      <c r="D16" s="943">
        <v>55</v>
      </c>
      <c r="E16" s="943">
        <v>6</v>
      </c>
      <c r="F16" s="943">
        <v>2</v>
      </c>
    </row>
    <row r="17" spans="1:6" ht="30.75" thickBot="1">
      <c r="A17" s="255" t="s">
        <v>2254</v>
      </c>
      <c r="B17" s="65" t="s">
        <v>2255</v>
      </c>
      <c r="C17" s="360">
        <v>7220</v>
      </c>
      <c r="D17" s="943">
        <v>55</v>
      </c>
      <c r="E17" s="943">
        <v>6</v>
      </c>
      <c r="F17" s="943">
        <v>2</v>
      </c>
    </row>
    <row r="18" spans="1:6" ht="15.75" thickBot="1">
      <c r="A18" s="255" t="s">
        <v>2256</v>
      </c>
      <c r="B18" s="65" t="s">
        <v>740</v>
      </c>
      <c r="C18" s="360">
        <v>7230</v>
      </c>
      <c r="D18" s="941">
        <f>SUM(D19:D20)</f>
        <v>255</v>
      </c>
      <c r="E18" s="941">
        <f>SUM(E19:E20)</f>
        <v>21</v>
      </c>
      <c r="F18" s="941">
        <f>SUM(F19:F20)</f>
        <v>17</v>
      </c>
    </row>
    <row r="19" spans="1:6" ht="30.75" thickBot="1">
      <c r="A19" s="545" t="s">
        <v>2257</v>
      </c>
      <c r="B19" s="65" t="s">
        <v>2607</v>
      </c>
      <c r="C19" s="360">
        <v>7240</v>
      </c>
      <c r="D19" s="943">
        <v>55</v>
      </c>
      <c r="E19" s="943">
        <v>6</v>
      </c>
      <c r="F19" s="943">
        <v>2</v>
      </c>
    </row>
    <row r="20" spans="1:6" ht="30.75" thickBot="1">
      <c r="A20" s="545" t="s">
        <v>2259</v>
      </c>
      <c r="B20" s="65" t="s">
        <v>2260</v>
      </c>
      <c r="C20" s="360">
        <v>7250</v>
      </c>
      <c r="D20" s="943">
        <v>200</v>
      </c>
      <c r="E20" s="943">
        <v>15</v>
      </c>
      <c r="F20" s="943">
        <v>15</v>
      </c>
    </row>
    <row r="21" spans="1:6" ht="15.75" thickBot="1">
      <c r="A21" s="255" t="s">
        <v>1591</v>
      </c>
      <c r="B21" s="65"/>
      <c r="C21" s="360">
        <v>7260</v>
      </c>
      <c r="D21" s="943">
        <v>55</v>
      </c>
      <c r="E21" s="943">
        <v>6</v>
      </c>
      <c r="F21" s="943">
        <v>2</v>
      </c>
    </row>
    <row r="22" spans="1:6" ht="15.75" thickBot="1">
      <c r="A22" s="543" t="s">
        <v>2325</v>
      </c>
      <c r="B22" s="65" t="s">
        <v>740</v>
      </c>
      <c r="C22" s="360">
        <v>7270</v>
      </c>
      <c r="D22" s="943">
        <v>55</v>
      </c>
      <c r="E22" s="943">
        <v>6</v>
      </c>
      <c r="F22" s="943">
        <v>2</v>
      </c>
    </row>
    <row r="23" spans="1:6" ht="15.75" thickBot="1">
      <c r="A23" s="543" t="s">
        <v>1475</v>
      </c>
      <c r="B23" s="65"/>
      <c r="C23" s="428">
        <v>7280</v>
      </c>
      <c r="D23" s="943">
        <v>85</v>
      </c>
      <c r="E23" s="943">
        <v>6</v>
      </c>
      <c r="F23" s="943">
        <v>2</v>
      </c>
    </row>
    <row r="24" spans="1:6" ht="15.75" thickBot="1">
      <c r="A24" s="555" t="s">
        <v>1838</v>
      </c>
      <c r="B24" s="304"/>
      <c r="C24" s="246">
        <v>7800</v>
      </c>
      <c r="D24" s="943">
        <v>0</v>
      </c>
      <c r="E24" s="944"/>
      <c r="F24" s="944"/>
    </row>
    <row r="25" spans="1:6" ht="15.75" thickBot="1">
      <c r="A25" s="550" t="s">
        <v>1059</v>
      </c>
      <c r="B25" s="548"/>
      <c r="C25" s="341">
        <v>7999</v>
      </c>
      <c r="D25" s="941">
        <f>SUM(D5,D10,D15,D22:D23)</f>
        <v>1000</v>
      </c>
      <c r="E25" s="941">
        <f>SUM(E5,E10,E15,E22:E23)</f>
        <v>99</v>
      </c>
      <c r="F25" s="941">
        <f>SUM(F5,F10,F15,F22:F23)</f>
        <v>43</v>
      </c>
    </row>
    <row r="26" spans="1:6">
      <c r="D26" s="829">
        <f>D25-'1.2'!E5</f>
        <v>0</v>
      </c>
    </row>
    <row r="29" spans="1:6" s="12" customFormat="1" ht="13.5">
      <c r="A29" s="41"/>
      <c r="B29" s="45"/>
      <c r="C29" s="37">
        <v>10</v>
      </c>
      <c r="D29" s="28" t="b">
        <f>D5=SUM(D6:D9)</f>
        <v>1</v>
      </c>
      <c r="E29" s="29" t="s">
        <v>2413</v>
      </c>
    </row>
    <row r="30" spans="1:6" s="12" customFormat="1" ht="13.5">
      <c r="A30" s="41"/>
      <c r="B30" s="45"/>
      <c r="C30" s="37">
        <v>20</v>
      </c>
      <c r="D30" s="28" t="b">
        <f>D10=SUM(D11:D14)</f>
        <v>1</v>
      </c>
      <c r="E30" s="29" t="s">
        <v>2414</v>
      </c>
    </row>
    <row r="31" spans="1:6" s="12" customFormat="1" ht="13.5">
      <c r="A31" s="41"/>
      <c r="B31" s="45"/>
      <c r="C31" s="37">
        <v>30</v>
      </c>
      <c r="D31" s="28" t="b">
        <f>D18=D19+D20</f>
        <v>1</v>
      </c>
      <c r="E31" s="29" t="s">
        <v>2905</v>
      </c>
    </row>
    <row r="32" spans="1:6" s="12" customFormat="1" ht="13.5">
      <c r="A32" s="41"/>
      <c r="B32" s="45"/>
      <c r="C32" s="37">
        <v>40</v>
      </c>
      <c r="D32" s="28" t="b">
        <f>D15=D16+D17+D18+D21</f>
        <v>1</v>
      </c>
      <c r="E32" s="29" t="s">
        <v>2906</v>
      </c>
    </row>
    <row r="33" spans="1:11" s="12" customFormat="1" ht="13.5">
      <c r="A33" s="1135" t="s">
        <v>2969</v>
      </c>
      <c r="B33" s="1123"/>
      <c r="C33" s="1124">
        <v>50</v>
      </c>
      <c r="D33" s="1120" t="b">
        <f>D25=D5+D10+D15+D22+D23</f>
        <v>1</v>
      </c>
      <c r="E33" s="1125" t="s">
        <v>2956</v>
      </c>
      <c r="F33" s="1122"/>
      <c r="G33" s="1122"/>
      <c r="H33" s="1122"/>
      <c r="I33" s="1122"/>
      <c r="J33" s="1122"/>
      <c r="K33" s="1122"/>
    </row>
    <row r="34" spans="1:11" s="12" customFormat="1" ht="13.5">
      <c r="A34" s="41"/>
      <c r="B34" s="45"/>
      <c r="C34" s="37">
        <v>60</v>
      </c>
      <c r="D34" s="28" t="b">
        <f>E5=SUM(E6:E9)</f>
        <v>1</v>
      </c>
      <c r="E34" s="29" t="s">
        <v>2907</v>
      </c>
    </row>
    <row r="35" spans="1:11" s="12" customFormat="1" ht="13.5">
      <c r="A35" s="41"/>
      <c r="B35" s="45"/>
      <c r="C35" s="37">
        <v>70</v>
      </c>
      <c r="D35" s="28" t="b">
        <f>E10=SUM(E11:E14)</f>
        <v>1</v>
      </c>
      <c r="E35" s="29" t="s">
        <v>1705</v>
      </c>
    </row>
    <row r="36" spans="1:11" s="12" customFormat="1" ht="13.5">
      <c r="A36" s="41"/>
      <c r="B36" s="45"/>
      <c r="C36" s="37">
        <v>80</v>
      </c>
      <c r="D36" s="28" t="b">
        <f>E18=E19+E20</f>
        <v>1</v>
      </c>
      <c r="E36" s="29" t="s">
        <v>1706</v>
      </c>
    </row>
    <row r="37" spans="1:11" s="12" customFormat="1" ht="13.5">
      <c r="A37" s="41"/>
      <c r="B37" s="45"/>
      <c r="C37" s="37">
        <v>90</v>
      </c>
      <c r="D37" s="28" t="b">
        <f>E15=E16+E17+E18+E21</f>
        <v>1</v>
      </c>
      <c r="E37" s="29" t="s">
        <v>1707</v>
      </c>
    </row>
    <row r="38" spans="1:11" s="12" customFormat="1" ht="13.5">
      <c r="A38" s="41"/>
      <c r="B38" s="45"/>
      <c r="C38" s="37">
        <v>100</v>
      </c>
      <c r="D38" s="28" t="b">
        <f>E25=E5+E10+E15+E22+E23</f>
        <v>1</v>
      </c>
      <c r="E38" s="29" t="s">
        <v>1708</v>
      </c>
    </row>
    <row r="39" spans="1:11" s="12" customFormat="1" ht="13.5">
      <c r="A39" s="41"/>
      <c r="B39" s="45"/>
      <c r="C39" s="37">
        <v>110</v>
      </c>
      <c r="D39" s="28" t="b">
        <f>F5=SUM(F6:F9)</f>
        <v>1</v>
      </c>
      <c r="E39" s="29" t="s">
        <v>1709</v>
      </c>
    </row>
    <row r="40" spans="1:11" s="12" customFormat="1" ht="13.5">
      <c r="A40" s="41"/>
      <c r="B40" s="45"/>
      <c r="C40" s="37">
        <v>120</v>
      </c>
      <c r="D40" s="28" t="b">
        <f>F10=SUM(F11:F14)</f>
        <v>1</v>
      </c>
      <c r="E40" s="29" t="s">
        <v>1710</v>
      </c>
    </row>
    <row r="41" spans="1:11" s="12" customFormat="1" ht="13.5">
      <c r="A41" s="41"/>
      <c r="B41" s="45"/>
      <c r="C41" s="37">
        <v>130</v>
      </c>
      <c r="D41" s="28" t="b">
        <f>F18=F19+F20</f>
        <v>1</v>
      </c>
      <c r="E41" s="29" t="s">
        <v>1711</v>
      </c>
    </row>
    <row r="42" spans="1:11" s="12" customFormat="1" ht="13.5">
      <c r="A42" s="41"/>
      <c r="B42" s="45"/>
      <c r="C42" s="37">
        <v>140</v>
      </c>
      <c r="D42" s="28" t="b">
        <f>F15=F16+F17+F18+F21</f>
        <v>1</v>
      </c>
      <c r="E42" s="29" t="s">
        <v>1712</v>
      </c>
    </row>
    <row r="43" spans="1:11" s="12" customFormat="1" ht="13.5">
      <c r="A43" s="41"/>
      <c r="B43" s="45"/>
      <c r="C43" s="37">
        <v>150</v>
      </c>
      <c r="D43" s="28" t="b">
        <f>F25=F5+F10+F15+F22+F23</f>
        <v>1</v>
      </c>
      <c r="E43" s="29" t="s">
        <v>1713</v>
      </c>
    </row>
    <row r="44" spans="1:11" s="12" customFormat="1" ht="13.5">
      <c r="A44" s="41"/>
      <c r="B44" s="45"/>
      <c r="C44" s="37">
        <v>160</v>
      </c>
      <c r="D44" s="28" t="b">
        <f>IF(E5,IF(D5&gt;0,TRUE,FALSE),TRUE)</f>
        <v>1</v>
      </c>
      <c r="E44" s="29" t="s">
        <v>1714</v>
      </c>
      <c r="F44" s="29"/>
    </row>
    <row r="45" spans="1:11" s="12" customFormat="1" ht="13.5">
      <c r="A45" s="41"/>
      <c r="B45" s="45"/>
      <c r="C45" s="37">
        <v>170</v>
      </c>
      <c r="D45" s="28" t="b">
        <f t="shared" ref="D45:D62" si="0">IF(E6,IF(D6&gt;0,TRUE,FALSE),TRUE)</f>
        <v>1</v>
      </c>
      <c r="E45" s="29" t="s">
        <v>1715</v>
      </c>
    </row>
    <row r="46" spans="1:11" s="12" customFormat="1" ht="13.5">
      <c r="A46" s="41"/>
      <c r="B46" s="45"/>
      <c r="C46" s="37">
        <v>180</v>
      </c>
      <c r="D46" s="28" t="b">
        <f t="shared" si="0"/>
        <v>1</v>
      </c>
      <c r="E46" s="29" t="s">
        <v>1716</v>
      </c>
    </row>
    <row r="47" spans="1:11" s="12" customFormat="1" ht="13.5">
      <c r="A47" s="41"/>
      <c r="B47" s="45"/>
      <c r="C47" s="37">
        <v>190</v>
      </c>
      <c r="D47" s="28" t="b">
        <f t="shared" si="0"/>
        <v>1</v>
      </c>
      <c r="E47" s="29" t="s">
        <v>1717</v>
      </c>
    </row>
    <row r="48" spans="1:11" s="12" customFormat="1" ht="13.5">
      <c r="A48" s="41"/>
      <c r="B48" s="45"/>
      <c r="C48" s="37">
        <v>200</v>
      </c>
      <c r="D48" s="28" t="b">
        <f t="shared" si="0"/>
        <v>1</v>
      </c>
      <c r="E48" s="29" t="s">
        <v>1718</v>
      </c>
    </row>
    <row r="49" spans="1:6" s="12" customFormat="1" ht="13.5">
      <c r="A49" s="41"/>
      <c r="B49" s="45"/>
      <c r="C49" s="37">
        <v>210</v>
      </c>
      <c r="D49" s="28" t="b">
        <f t="shared" si="0"/>
        <v>1</v>
      </c>
      <c r="E49" s="29" t="s">
        <v>1719</v>
      </c>
    </row>
    <row r="50" spans="1:6" s="12" customFormat="1" ht="13.5">
      <c r="A50" s="41"/>
      <c r="B50" s="45"/>
      <c r="C50" s="37">
        <v>220</v>
      </c>
      <c r="D50" s="28" t="b">
        <f t="shared" si="0"/>
        <v>1</v>
      </c>
      <c r="E50" s="29" t="s">
        <v>1720</v>
      </c>
    </row>
    <row r="51" spans="1:6" s="12" customFormat="1" ht="13.5">
      <c r="A51" s="41"/>
      <c r="B51" s="45"/>
      <c r="C51" s="37">
        <v>230</v>
      </c>
      <c r="D51" s="28" t="b">
        <f t="shared" si="0"/>
        <v>1</v>
      </c>
      <c r="E51" s="29" t="s">
        <v>1721</v>
      </c>
    </row>
    <row r="52" spans="1:6" s="12" customFormat="1" ht="13.5">
      <c r="A52" s="41"/>
      <c r="B52" s="45"/>
      <c r="C52" s="37">
        <v>240</v>
      </c>
      <c r="D52" s="28" t="b">
        <f t="shared" si="0"/>
        <v>1</v>
      </c>
      <c r="E52" s="29" t="s">
        <v>1722</v>
      </c>
    </row>
    <row r="53" spans="1:6" s="12" customFormat="1" ht="13.5">
      <c r="A53" s="41"/>
      <c r="B53" s="45"/>
      <c r="C53" s="37">
        <v>250</v>
      </c>
      <c r="D53" s="28" t="b">
        <f t="shared" si="0"/>
        <v>1</v>
      </c>
      <c r="E53" s="29" t="s">
        <v>1723</v>
      </c>
    </row>
    <row r="54" spans="1:6" s="12" customFormat="1" ht="13.5">
      <c r="A54" s="41"/>
      <c r="B54" s="45"/>
      <c r="C54" s="37">
        <v>260</v>
      </c>
      <c r="D54" s="28" t="b">
        <f t="shared" si="0"/>
        <v>1</v>
      </c>
      <c r="E54" s="29" t="s">
        <v>2376</v>
      </c>
    </row>
    <row r="55" spans="1:6" s="12" customFormat="1" ht="13.5">
      <c r="A55" s="41"/>
      <c r="B55" s="45"/>
      <c r="C55" s="37">
        <v>270</v>
      </c>
      <c r="D55" s="28" t="b">
        <f t="shared" si="0"/>
        <v>1</v>
      </c>
      <c r="E55" s="29" t="s">
        <v>2377</v>
      </c>
    </row>
    <row r="56" spans="1:6" s="12" customFormat="1" ht="13.5">
      <c r="A56" s="41"/>
      <c r="B56" s="45"/>
      <c r="C56" s="37">
        <v>280</v>
      </c>
      <c r="D56" s="28" t="b">
        <f t="shared" si="0"/>
        <v>1</v>
      </c>
      <c r="E56" s="29" t="s">
        <v>2378</v>
      </c>
    </row>
    <row r="57" spans="1:6" s="12" customFormat="1" ht="13.5">
      <c r="A57" s="41"/>
      <c r="B57" s="45"/>
      <c r="C57" s="37">
        <v>290</v>
      </c>
      <c r="D57" s="28" t="b">
        <f t="shared" si="0"/>
        <v>1</v>
      </c>
      <c r="E57" s="29" t="s">
        <v>2379</v>
      </c>
    </row>
    <row r="58" spans="1:6" s="12" customFormat="1" ht="13.5">
      <c r="A58" s="41"/>
      <c r="B58" s="45"/>
      <c r="C58" s="37">
        <v>300</v>
      </c>
      <c r="D58" s="28" t="b">
        <f t="shared" si="0"/>
        <v>1</v>
      </c>
      <c r="E58" s="29" t="s">
        <v>2380</v>
      </c>
    </row>
    <row r="59" spans="1:6" s="12" customFormat="1" ht="13.5">
      <c r="A59" s="41"/>
      <c r="B59" s="45"/>
      <c r="C59" s="37">
        <v>310</v>
      </c>
      <c r="D59" s="28" t="b">
        <f t="shared" si="0"/>
        <v>1</v>
      </c>
      <c r="E59" s="29" t="s">
        <v>2381</v>
      </c>
    </row>
    <row r="60" spans="1:6" s="12" customFormat="1" ht="13.5">
      <c r="A60" s="41"/>
      <c r="B60" s="45"/>
      <c r="C60" s="37">
        <v>320</v>
      </c>
      <c r="D60" s="28" t="b">
        <f t="shared" si="0"/>
        <v>1</v>
      </c>
      <c r="E60" s="29" t="s">
        <v>2382</v>
      </c>
    </row>
    <row r="61" spans="1:6" s="12" customFormat="1" ht="13.5">
      <c r="A61" s="41"/>
      <c r="B61" s="45"/>
      <c r="C61" s="37">
        <v>330</v>
      </c>
      <c r="D61" s="28" t="b">
        <f t="shared" si="0"/>
        <v>1</v>
      </c>
      <c r="E61" s="29" t="s">
        <v>2383</v>
      </c>
    </row>
    <row r="62" spans="1:6" s="12" customFormat="1" ht="13.5">
      <c r="A62" s="41"/>
      <c r="B62" s="45"/>
      <c r="C62" s="37">
        <v>340</v>
      </c>
      <c r="D62" s="28" t="b">
        <f t="shared" si="0"/>
        <v>1</v>
      </c>
      <c r="E62" s="29" t="s">
        <v>2384</v>
      </c>
    </row>
    <row r="63" spans="1:6" s="12" customFormat="1" ht="13.5">
      <c r="A63" s="41"/>
      <c r="B63" s="45"/>
      <c r="C63" s="37">
        <v>350</v>
      </c>
      <c r="D63" s="28" t="b">
        <f>IF(E25,IF(D25&gt;0,TRUE,FALSE),TRUE)</f>
        <v>1</v>
      </c>
      <c r="E63" s="29" t="s">
        <v>2385</v>
      </c>
    </row>
    <row r="64" spans="1:6" s="12" customFormat="1" ht="13.5">
      <c r="A64" s="41"/>
      <c r="B64" s="45"/>
      <c r="C64" s="37">
        <v>360</v>
      </c>
      <c r="D64" s="28" t="b">
        <f>IF(F5,IF(D5&gt;0,TRUE,FALSE),TRUE)</f>
        <v>1</v>
      </c>
      <c r="E64" s="29" t="s">
        <v>2386</v>
      </c>
      <c r="F64" s="29"/>
    </row>
    <row r="65" spans="1:5" s="12" customFormat="1" ht="13.5">
      <c r="A65" s="41"/>
      <c r="B65" s="45"/>
      <c r="C65" s="37">
        <v>370</v>
      </c>
      <c r="D65" s="28" t="b">
        <f t="shared" ref="D65:D82" si="1">IF(F6,IF(D6&gt;0,TRUE,FALSE),TRUE)</f>
        <v>1</v>
      </c>
      <c r="E65" s="29" t="s">
        <v>2387</v>
      </c>
    </row>
    <row r="66" spans="1:5" s="12" customFormat="1" ht="13.5">
      <c r="A66" s="41"/>
      <c r="B66" s="45"/>
      <c r="C66" s="37">
        <v>380</v>
      </c>
      <c r="D66" s="28" t="b">
        <f t="shared" si="1"/>
        <v>1</v>
      </c>
      <c r="E66" s="29" t="s">
        <v>2336</v>
      </c>
    </row>
    <row r="67" spans="1:5" s="12" customFormat="1" ht="13.5">
      <c r="A67" s="41"/>
      <c r="B67" s="45"/>
      <c r="C67" s="37">
        <v>390</v>
      </c>
      <c r="D67" s="28" t="b">
        <f t="shared" si="1"/>
        <v>1</v>
      </c>
      <c r="E67" s="29" t="s">
        <v>2337</v>
      </c>
    </row>
    <row r="68" spans="1:5" s="12" customFormat="1" ht="13.5">
      <c r="A68" s="41"/>
      <c r="B68" s="45"/>
      <c r="C68" s="37">
        <v>400</v>
      </c>
      <c r="D68" s="28" t="b">
        <f t="shared" si="1"/>
        <v>1</v>
      </c>
      <c r="E68" s="29" t="s">
        <v>2338</v>
      </c>
    </row>
    <row r="69" spans="1:5" s="12" customFormat="1" ht="13.5">
      <c r="A69" s="41"/>
      <c r="B69" s="45"/>
      <c r="C69" s="37">
        <v>410</v>
      </c>
      <c r="D69" s="28" t="b">
        <f t="shared" si="1"/>
        <v>1</v>
      </c>
      <c r="E69" s="29" t="s">
        <v>2339</v>
      </c>
    </row>
    <row r="70" spans="1:5" s="12" customFormat="1" ht="13.5">
      <c r="A70" s="41"/>
      <c r="B70" s="45"/>
      <c r="C70" s="37">
        <v>420</v>
      </c>
      <c r="D70" s="28" t="b">
        <f t="shared" si="1"/>
        <v>1</v>
      </c>
      <c r="E70" s="29" t="s">
        <v>2340</v>
      </c>
    </row>
    <row r="71" spans="1:5" s="12" customFormat="1" ht="13.5">
      <c r="A71" s="41"/>
      <c r="B71" s="45"/>
      <c r="C71" s="37">
        <v>430</v>
      </c>
      <c r="D71" s="28" t="b">
        <f t="shared" si="1"/>
        <v>1</v>
      </c>
      <c r="E71" s="29" t="s">
        <v>2341</v>
      </c>
    </row>
    <row r="72" spans="1:5" s="12" customFormat="1" ht="13.5">
      <c r="A72" s="41"/>
      <c r="B72" s="45"/>
      <c r="C72" s="37">
        <v>440</v>
      </c>
      <c r="D72" s="28" t="b">
        <f t="shared" si="1"/>
        <v>1</v>
      </c>
      <c r="E72" s="29" t="s">
        <v>2342</v>
      </c>
    </row>
    <row r="73" spans="1:5" s="12" customFormat="1" ht="13.5">
      <c r="A73" s="41"/>
      <c r="B73" s="45"/>
      <c r="C73" s="37">
        <v>450</v>
      </c>
      <c r="D73" s="28" t="b">
        <f t="shared" si="1"/>
        <v>1</v>
      </c>
      <c r="E73" s="29" t="s">
        <v>2343</v>
      </c>
    </row>
    <row r="74" spans="1:5" s="12" customFormat="1" ht="13.5">
      <c r="A74" s="41"/>
      <c r="B74" s="45"/>
      <c r="C74" s="37">
        <v>460</v>
      </c>
      <c r="D74" s="28" t="b">
        <f t="shared" si="1"/>
        <v>1</v>
      </c>
      <c r="E74" s="29" t="s">
        <v>2344</v>
      </c>
    </row>
    <row r="75" spans="1:5" s="12" customFormat="1" ht="13.5">
      <c r="A75" s="41"/>
      <c r="B75" s="45"/>
      <c r="C75" s="37">
        <v>470</v>
      </c>
      <c r="D75" s="28" t="b">
        <f t="shared" si="1"/>
        <v>1</v>
      </c>
      <c r="E75" s="29" t="s">
        <v>2345</v>
      </c>
    </row>
    <row r="76" spans="1:5" s="12" customFormat="1" ht="13.5">
      <c r="A76" s="41"/>
      <c r="B76" s="45"/>
      <c r="C76" s="37">
        <v>480</v>
      </c>
      <c r="D76" s="28" t="b">
        <f t="shared" si="1"/>
        <v>1</v>
      </c>
      <c r="E76" s="29" t="s">
        <v>2346</v>
      </c>
    </row>
    <row r="77" spans="1:5" s="12" customFormat="1" ht="13.5">
      <c r="A77" s="41"/>
      <c r="B77" s="45"/>
      <c r="C77" s="37">
        <v>490</v>
      </c>
      <c r="D77" s="28" t="b">
        <f t="shared" si="1"/>
        <v>1</v>
      </c>
      <c r="E77" s="29" t="s">
        <v>2347</v>
      </c>
    </row>
    <row r="78" spans="1:5" s="12" customFormat="1" ht="13.5">
      <c r="A78" s="41"/>
      <c r="B78" s="45"/>
      <c r="C78" s="37">
        <v>500</v>
      </c>
      <c r="D78" s="28" t="b">
        <f t="shared" si="1"/>
        <v>1</v>
      </c>
      <c r="E78" s="29" t="s">
        <v>2348</v>
      </c>
    </row>
    <row r="79" spans="1:5" s="12" customFormat="1" ht="13.5">
      <c r="A79" s="41"/>
      <c r="B79" s="45"/>
      <c r="C79" s="37">
        <v>510</v>
      </c>
      <c r="D79" s="28" t="b">
        <f t="shared" si="1"/>
        <v>1</v>
      </c>
      <c r="E79" s="29" t="s">
        <v>2349</v>
      </c>
    </row>
    <row r="80" spans="1:5" s="12" customFormat="1" ht="13.5">
      <c r="A80" s="41"/>
      <c r="B80" s="45"/>
      <c r="C80" s="37">
        <v>520</v>
      </c>
      <c r="D80" s="28" t="b">
        <f t="shared" si="1"/>
        <v>1</v>
      </c>
      <c r="E80" s="29" t="s">
        <v>2350</v>
      </c>
    </row>
    <row r="81" spans="1:8" s="12" customFormat="1" ht="13.5">
      <c r="A81" s="41"/>
      <c r="B81" s="45"/>
      <c r="C81" s="37">
        <v>530</v>
      </c>
      <c r="D81" s="28" t="b">
        <f t="shared" si="1"/>
        <v>1</v>
      </c>
      <c r="E81" s="29" t="s">
        <v>2351</v>
      </c>
    </row>
    <row r="82" spans="1:8" s="12" customFormat="1" ht="13.5">
      <c r="A82" s="41"/>
      <c r="B82" s="45"/>
      <c r="C82" s="37">
        <v>540</v>
      </c>
      <c r="D82" s="28" t="b">
        <f t="shared" si="1"/>
        <v>1</v>
      </c>
      <c r="E82" s="29" t="s">
        <v>2352</v>
      </c>
    </row>
    <row r="83" spans="1:8" s="12" customFormat="1" ht="13.5">
      <c r="A83" s="41"/>
      <c r="B83" s="45"/>
      <c r="C83" s="37">
        <v>550</v>
      </c>
      <c r="D83" s="28" t="b">
        <f>IF(F25,IF(D25&gt;0,TRUE,FALSE),TRUE)</f>
        <v>1</v>
      </c>
      <c r="E83" s="29" t="s">
        <v>2353</v>
      </c>
    </row>
    <row r="84" spans="1:8" s="12" customFormat="1" ht="13.5">
      <c r="A84" s="41"/>
      <c r="B84" s="45"/>
      <c r="C84" s="37">
        <v>560</v>
      </c>
      <c r="D84" s="28" t="b">
        <f>D5=SUM('21.b'!D5:F5)</f>
        <v>1</v>
      </c>
      <c r="E84" s="29" t="s">
        <v>2354</v>
      </c>
      <c r="G84"/>
      <c r="H84" s="49"/>
    </row>
    <row r="85" spans="1:8" s="12" customFormat="1" ht="13.5">
      <c r="A85" s="41"/>
      <c r="B85" s="45"/>
      <c r="C85" s="37">
        <v>570</v>
      </c>
      <c r="D85" s="28" t="b">
        <f>D6=SUM('21.b'!D6:F6)</f>
        <v>1</v>
      </c>
      <c r="E85" s="29" t="s">
        <v>2355</v>
      </c>
      <c r="G85"/>
      <c r="H85" s="49"/>
    </row>
    <row r="86" spans="1:8" s="12" customFormat="1" ht="13.5">
      <c r="A86" s="41"/>
      <c r="B86" s="45"/>
      <c r="C86" s="37">
        <v>580</v>
      </c>
      <c r="D86" s="28" t="b">
        <f>D7=SUM('21.b'!D7:F7)</f>
        <v>1</v>
      </c>
      <c r="E86" s="29" t="s">
        <v>2356</v>
      </c>
      <c r="G86"/>
      <c r="H86" s="49"/>
    </row>
    <row r="87" spans="1:8" s="12" customFormat="1" ht="13.5">
      <c r="A87" s="41"/>
      <c r="B87" s="45"/>
      <c r="C87" s="37">
        <v>590</v>
      </c>
      <c r="D87" s="28" t="b">
        <f>D8=SUM('21.b'!D8:F8)</f>
        <v>1</v>
      </c>
      <c r="E87" s="29" t="s">
        <v>2357</v>
      </c>
      <c r="G87"/>
      <c r="H87" s="49"/>
    </row>
    <row r="88" spans="1:8" s="12" customFormat="1" ht="13.5">
      <c r="A88" s="41"/>
      <c r="B88" s="45"/>
      <c r="C88" s="37">
        <v>600</v>
      </c>
      <c r="D88" s="28" t="b">
        <f>D9=SUM('21.b'!D9:F9)</f>
        <v>1</v>
      </c>
      <c r="E88" s="29" t="s">
        <v>2358</v>
      </c>
      <c r="G88"/>
      <c r="H88" s="49"/>
    </row>
    <row r="89" spans="1:8" s="12" customFormat="1" ht="13.5">
      <c r="A89" s="41"/>
      <c r="B89" s="45"/>
      <c r="C89" s="37">
        <v>610</v>
      </c>
      <c r="D89" s="28" t="b">
        <f>D10=SUM('21.b'!D10:F10)</f>
        <v>1</v>
      </c>
      <c r="E89" s="29" t="s">
        <v>2359</v>
      </c>
      <c r="G89"/>
      <c r="H89" s="49"/>
    </row>
    <row r="90" spans="1:8" s="12" customFormat="1" ht="13.5">
      <c r="A90" s="41"/>
      <c r="B90" s="45"/>
      <c r="C90" s="37">
        <v>620</v>
      </c>
      <c r="D90" s="28" t="b">
        <f>D11=SUM('21.b'!D11:F11)</f>
        <v>1</v>
      </c>
      <c r="E90" s="29" t="s">
        <v>2360</v>
      </c>
      <c r="G90"/>
      <c r="H90" s="49"/>
    </row>
    <row r="91" spans="1:8" s="12" customFormat="1" ht="13.5">
      <c r="A91" s="41"/>
      <c r="B91" s="45"/>
      <c r="C91" s="37">
        <v>630</v>
      </c>
      <c r="D91" s="28" t="b">
        <f>D12=SUM('21.b'!D12:F12)</f>
        <v>1</v>
      </c>
      <c r="E91" s="29" t="s">
        <v>2361</v>
      </c>
      <c r="G91"/>
      <c r="H91" s="49"/>
    </row>
    <row r="92" spans="1:8" s="12" customFormat="1" ht="13.5">
      <c r="A92" s="41"/>
      <c r="B92" s="45"/>
      <c r="C92" s="37">
        <v>640</v>
      </c>
      <c r="D92" s="28" t="b">
        <f>D13=SUM('21.b'!D13:F13)</f>
        <v>1</v>
      </c>
      <c r="E92" s="29" t="s">
        <v>2362</v>
      </c>
      <c r="G92"/>
      <c r="H92" s="49"/>
    </row>
    <row r="93" spans="1:8" s="12" customFormat="1" ht="13.5">
      <c r="A93" s="41"/>
      <c r="B93" s="45"/>
      <c r="C93" s="37">
        <v>650</v>
      </c>
      <c r="D93" s="28" t="b">
        <f>D14=SUM('21.b'!D14:F14)</f>
        <v>1</v>
      </c>
      <c r="E93" s="29" t="s">
        <v>2363</v>
      </c>
      <c r="G93"/>
      <c r="H93" s="49"/>
    </row>
    <row r="94" spans="1:8" s="12" customFormat="1" ht="13.5">
      <c r="A94" s="41"/>
      <c r="B94" s="45"/>
      <c r="C94" s="37">
        <v>660</v>
      </c>
      <c r="D94" s="28" t="b">
        <f>D15=SUM('21.b'!D15:F15)</f>
        <v>1</v>
      </c>
      <c r="E94" s="29" t="s">
        <v>2479</v>
      </c>
      <c r="G94"/>
      <c r="H94" s="49"/>
    </row>
    <row r="95" spans="1:8" s="12" customFormat="1" ht="13.5">
      <c r="A95" s="41"/>
      <c r="B95" s="45"/>
      <c r="C95" s="37">
        <v>670</v>
      </c>
      <c r="D95" s="28" t="b">
        <f>D16=SUM('21.b'!D16:F16)</f>
        <v>1</v>
      </c>
      <c r="E95" s="29" t="s">
        <v>2480</v>
      </c>
      <c r="G95"/>
      <c r="H95" s="49"/>
    </row>
    <row r="96" spans="1:8" s="12" customFormat="1" ht="13.5">
      <c r="A96" s="41"/>
      <c r="B96" s="45"/>
      <c r="C96" s="37">
        <v>680</v>
      </c>
      <c r="D96" s="28" t="b">
        <f>D17=SUM('21.b'!D17:F17)</f>
        <v>1</v>
      </c>
      <c r="E96" s="29" t="s">
        <v>2481</v>
      </c>
      <c r="G96"/>
      <c r="H96" s="49"/>
    </row>
    <row r="97" spans="1:10" s="12" customFormat="1" ht="13.5">
      <c r="A97" s="41"/>
      <c r="B97" s="45"/>
      <c r="C97" s="37">
        <v>690</v>
      </c>
      <c r="D97" s="28" t="b">
        <f>D18=SUM('21.b'!D18:F18)</f>
        <v>1</v>
      </c>
      <c r="E97" s="29" t="s">
        <v>2482</v>
      </c>
      <c r="G97"/>
      <c r="H97" s="49"/>
    </row>
    <row r="98" spans="1:10" s="12" customFormat="1" ht="13.5">
      <c r="A98" s="41"/>
      <c r="B98" s="45"/>
      <c r="C98" s="37">
        <v>700</v>
      </c>
      <c r="D98" s="28" t="b">
        <f>D19=SUM('21.b'!D19:F19)</f>
        <v>1</v>
      </c>
      <c r="E98" s="29" t="s">
        <v>2483</v>
      </c>
      <c r="G98"/>
      <c r="H98" s="49"/>
    </row>
    <row r="99" spans="1:10" s="12" customFormat="1" ht="13.5">
      <c r="A99" s="41"/>
      <c r="B99" s="45"/>
      <c r="C99" s="37">
        <v>710</v>
      </c>
      <c r="D99" s="28" t="b">
        <f>D20=SUM('21.b'!D20:F20)</f>
        <v>1</v>
      </c>
      <c r="E99" s="29" t="s">
        <v>2484</v>
      </c>
      <c r="G99"/>
      <c r="H99" s="49"/>
    </row>
    <row r="100" spans="1:10" s="12" customFormat="1" ht="13.5">
      <c r="A100" s="41"/>
      <c r="B100" s="45"/>
      <c r="C100" s="37">
        <v>720</v>
      </c>
      <c r="D100" s="28" t="b">
        <f>D21=SUM('21.b'!D21:F21)</f>
        <v>1</v>
      </c>
      <c r="E100" s="29" t="s">
        <v>2485</v>
      </c>
      <c r="G100"/>
      <c r="H100" s="49"/>
    </row>
    <row r="101" spans="1:10" s="12" customFormat="1" ht="13.5">
      <c r="A101" s="1139"/>
      <c r="B101" s="45"/>
      <c r="C101" s="37">
        <v>730</v>
      </c>
      <c r="D101" s="28" t="b">
        <f>D22=SUM('21.b'!D22:F22)</f>
        <v>1</v>
      </c>
      <c r="E101" s="29" t="s">
        <v>2486</v>
      </c>
      <c r="G101"/>
      <c r="H101" s="49"/>
    </row>
    <row r="102" spans="1:10" s="12" customFormat="1" ht="13.5">
      <c r="A102" s="1139"/>
      <c r="B102" s="45"/>
      <c r="C102" s="37">
        <v>740</v>
      </c>
      <c r="D102" s="28" t="b">
        <f>D23=SUM('21.b'!D23:F23)</f>
        <v>1</v>
      </c>
      <c r="E102" s="29" t="s">
        <v>2487</v>
      </c>
      <c r="G102"/>
      <c r="H102" s="49"/>
    </row>
    <row r="103" spans="1:10" s="12" customFormat="1" ht="13.5">
      <c r="A103" s="1135" t="s">
        <v>2969</v>
      </c>
      <c r="B103" s="1123"/>
      <c r="C103" s="1124">
        <v>750</v>
      </c>
      <c r="D103" s="1120" t="b">
        <f>D25=SUM('21.b'!D24:F24)</f>
        <v>1</v>
      </c>
      <c r="E103" s="1125" t="s">
        <v>2957</v>
      </c>
      <c r="F103" s="1122"/>
      <c r="G103" s="1126"/>
      <c r="H103" s="1129"/>
      <c r="I103" s="1122"/>
      <c r="J103" s="1122"/>
    </row>
    <row r="104" spans="1:10" s="12" customFormat="1" ht="13.5">
      <c r="A104" s="1139"/>
      <c r="B104" s="45"/>
      <c r="C104" s="37">
        <v>760</v>
      </c>
      <c r="D104" s="28" t="b">
        <f>D25='1.2'!E5</f>
        <v>1</v>
      </c>
      <c r="E104" s="29" t="s">
        <v>1779</v>
      </c>
      <c r="G104"/>
      <c r="H104" s="49"/>
    </row>
    <row r="105" spans="1:10" ht="13.5">
      <c r="A105" s="1135" t="s">
        <v>2969</v>
      </c>
      <c r="B105" s="1126"/>
      <c r="C105" s="1124">
        <v>770</v>
      </c>
      <c r="D105" s="1120" t="b">
        <f>D24=0</f>
        <v>1</v>
      </c>
      <c r="E105" s="1125" t="s">
        <v>2958</v>
      </c>
      <c r="F105" s="1126"/>
      <c r="G105" s="1126"/>
      <c r="H105" s="1126"/>
    </row>
    <row r="106" spans="1:10" ht="13.5">
      <c r="A106" s="1134"/>
    </row>
    <row r="107" spans="1:10" ht="13.5">
      <c r="A107" s="1134"/>
    </row>
    <row r="108" spans="1:10" ht="13.5">
      <c r="A108" s="1134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0.64" bottom="0.55000000000000004" header="0.26" footer="0.27"/>
  <pageSetup paperSize="8" scale="114" orientation="landscape" r:id="rId4"/>
  <headerFooter alignWithMargins="0">
    <oddHeader>&amp;C21.A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Normal="100" workbookViewId="0"/>
  </sheetViews>
  <sheetFormatPr defaultRowHeight="12.75"/>
  <cols>
    <col min="1" max="1" width="59.7109375" bestFit="1" customWidth="1"/>
    <col min="2" max="2" width="13.85546875" style="4" customWidth="1"/>
    <col min="3" max="3" width="9.28515625" style="4" customWidth="1"/>
    <col min="4" max="4" width="11.140625" customWidth="1"/>
    <col min="5" max="6" width="10.7109375" customWidth="1"/>
    <col min="15" max="15" width="57.28515625" customWidth="1"/>
  </cols>
  <sheetData>
    <row r="1" spans="1:6" s="5" customFormat="1" ht="16.5" thickBot="1">
      <c r="A1" s="477" t="s">
        <v>452</v>
      </c>
      <c r="B1" s="279"/>
      <c r="C1" s="279"/>
      <c r="D1" s="279"/>
      <c r="E1" s="279"/>
      <c r="F1" s="279"/>
    </row>
    <row r="2" spans="1:6" ht="102" customHeight="1" thickBot="1">
      <c r="A2" s="277" t="s">
        <v>2671</v>
      </c>
      <c r="B2" s="521"/>
      <c r="C2" s="521"/>
      <c r="D2" s="271" t="s">
        <v>2205</v>
      </c>
      <c r="E2" s="271" t="s">
        <v>2206</v>
      </c>
      <c r="F2" s="271" t="s">
        <v>2263</v>
      </c>
    </row>
    <row r="3" spans="1:6" ht="30.75" thickBot="1">
      <c r="A3" s="551"/>
      <c r="B3" s="554" t="s">
        <v>2173</v>
      </c>
      <c r="C3" s="552"/>
      <c r="D3" s="554" t="s">
        <v>464</v>
      </c>
      <c r="E3" s="554" t="s">
        <v>465</v>
      </c>
      <c r="F3" s="554" t="s">
        <v>466</v>
      </c>
    </row>
    <row r="4" spans="1:6" ht="14.25" customHeight="1" thickBot="1">
      <c r="A4" s="523"/>
      <c r="B4" s="524"/>
      <c r="C4" s="341" t="s">
        <v>1135</v>
      </c>
      <c r="D4" s="283" t="s">
        <v>1016</v>
      </c>
      <c r="E4" s="283" t="s">
        <v>525</v>
      </c>
      <c r="F4" s="283" t="s">
        <v>526</v>
      </c>
    </row>
    <row r="5" spans="1:6" ht="15.75" thickBot="1">
      <c r="A5" s="543" t="s">
        <v>1472</v>
      </c>
      <c r="B5" s="487"/>
      <c r="C5" s="332">
        <v>7100</v>
      </c>
      <c r="D5" s="941">
        <f>SUM(D6:D9)</f>
        <v>112</v>
      </c>
      <c r="E5" s="941">
        <f>SUM(E6:E9)</f>
        <v>64</v>
      </c>
      <c r="F5" s="941">
        <f>SUM(F6:F9)</f>
        <v>44</v>
      </c>
    </row>
    <row r="6" spans="1:6" ht="15.75" thickBot="1">
      <c r="A6" s="255" t="s">
        <v>2174</v>
      </c>
      <c r="B6" s="65" t="s">
        <v>2175</v>
      </c>
      <c r="C6" s="360">
        <v>7110</v>
      </c>
      <c r="D6" s="943">
        <v>28</v>
      </c>
      <c r="E6" s="943">
        <v>16</v>
      </c>
      <c r="F6" s="943">
        <v>11</v>
      </c>
    </row>
    <row r="7" spans="1:6" ht="15.75" thickBot="1">
      <c r="A7" s="255" t="s">
        <v>2176</v>
      </c>
      <c r="B7" s="65" t="s">
        <v>2175</v>
      </c>
      <c r="C7" s="360">
        <v>7120</v>
      </c>
      <c r="D7" s="943">
        <v>28</v>
      </c>
      <c r="E7" s="943">
        <v>16</v>
      </c>
      <c r="F7" s="943">
        <v>11</v>
      </c>
    </row>
    <row r="8" spans="1:6" ht="15.75" thickBot="1">
      <c r="A8" s="255" t="s">
        <v>2177</v>
      </c>
      <c r="B8" s="65" t="s">
        <v>2175</v>
      </c>
      <c r="C8" s="360">
        <v>7130</v>
      </c>
      <c r="D8" s="943">
        <v>28</v>
      </c>
      <c r="E8" s="943">
        <v>16</v>
      </c>
      <c r="F8" s="943">
        <v>11</v>
      </c>
    </row>
    <row r="9" spans="1:6" ht="15.75" thickBot="1">
      <c r="A9" s="255" t="s">
        <v>2178</v>
      </c>
      <c r="B9" s="65" t="s">
        <v>2175</v>
      </c>
      <c r="C9" s="360">
        <v>7140</v>
      </c>
      <c r="D9" s="943">
        <v>28</v>
      </c>
      <c r="E9" s="943">
        <v>16</v>
      </c>
      <c r="F9" s="943">
        <v>11</v>
      </c>
    </row>
    <row r="10" spans="1:6" ht="15.75" thickBot="1">
      <c r="A10" s="543" t="s">
        <v>467</v>
      </c>
      <c r="B10" s="461"/>
      <c r="C10" s="360">
        <v>7150</v>
      </c>
      <c r="D10" s="941">
        <f>SUM(D11:D14)</f>
        <v>112</v>
      </c>
      <c r="E10" s="941">
        <f>SUM(E11:E14)</f>
        <v>64</v>
      </c>
      <c r="F10" s="941">
        <f>SUM(F11:F14)</f>
        <v>44</v>
      </c>
    </row>
    <row r="11" spans="1:6" ht="15.75" thickBot="1">
      <c r="A11" s="255" t="s">
        <v>2174</v>
      </c>
      <c r="B11" s="65" t="s">
        <v>2175</v>
      </c>
      <c r="C11" s="360">
        <v>7160</v>
      </c>
      <c r="D11" s="943">
        <v>28</v>
      </c>
      <c r="E11" s="943">
        <v>16</v>
      </c>
      <c r="F11" s="943">
        <v>11</v>
      </c>
    </row>
    <row r="12" spans="1:6" ht="15.75" thickBot="1">
      <c r="A12" s="255" t="s">
        <v>2176</v>
      </c>
      <c r="B12" s="65" t="s">
        <v>2175</v>
      </c>
      <c r="C12" s="360">
        <v>7170</v>
      </c>
      <c r="D12" s="943">
        <v>28</v>
      </c>
      <c r="E12" s="943">
        <v>16</v>
      </c>
      <c r="F12" s="943">
        <v>11</v>
      </c>
    </row>
    <row r="13" spans="1:6" ht="15.75" thickBot="1">
      <c r="A13" s="255" t="s">
        <v>2177</v>
      </c>
      <c r="B13" s="65" t="s">
        <v>2175</v>
      </c>
      <c r="C13" s="360">
        <v>7180</v>
      </c>
      <c r="D13" s="943">
        <v>28</v>
      </c>
      <c r="E13" s="943">
        <v>16</v>
      </c>
      <c r="F13" s="943">
        <v>11</v>
      </c>
    </row>
    <row r="14" spans="1:6" ht="15.75" thickBot="1">
      <c r="A14" s="255" t="s">
        <v>2178</v>
      </c>
      <c r="B14" s="65" t="s">
        <v>2175</v>
      </c>
      <c r="C14" s="360">
        <v>7190</v>
      </c>
      <c r="D14" s="943">
        <v>28</v>
      </c>
      <c r="E14" s="943">
        <v>16</v>
      </c>
      <c r="F14" s="943">
        <v>11</v>
      </c>
    </row>
    <row r="15" spans="1:6" ht="15.75" thickBot="1">
      <c r="A15" s="543" t="s">
        <v>2251</v>
      </c>
      <c r="B15" s="461" t="s">
        <v>740</v>
      </c>
      <c r="C15" s="360">
        <v>7200</v>
      </c>
      <c r="D15" s="941">
        <f>SUM(D16:D18,D21)</f>
        <v>212</v>
      </c>
      <c r="E15" s="941">
        <f>SUM(E16:E18,E21)</f>
        <v>124</v>
      </c>
      <c r="F15" s="941">
        <f>SUM(F16:F18,F21)</f>
        <v>84</v>
      </c>
    </row>
    <row r="16" spans="1:6" ht="15.75" thickBot="1">
      <c r="A16" s="255" t="s">
        <v>2253</v>
      </c>
      <c r="B16" s="65" t="s">
        <v>740</v>
      </c>
      <c r="C16" s="360">
        <v>7210</v>
      </c>
      <c r="D16" s="943">
        <v>28</v>
      </c>
      <c r="E16" s="943">
        <v>16</v>
      </c>
      <c r="F16" s="943">
        <v>11</v>
      </c>
    </row>
    <row r="17" spans="1:9" ht="30.75" thickBot="1">
      <c r="A17" s="255" t="s">
        <v>2254</v>
      </c>
      <c r="B17" s="65" t="s">
        <v>2255</v>
      </c>
      <c r="C17" s="360">
        <v>7220</v>
      </c>
      <c r="D17" s="943">
        <v>28</v>
      </c>
      <c r="E17" s="943">
        <v>16</v>
      </c>
      <c r="F17" s="943">
        <v>11</v>
      </c>
    </row>
    <row r="18" spans="1:9" ht="15.75" thickBot="1">
      <c r="A18" s="255" t="s">
        <v>2256</v>
      </c>
      <c r="B18" s="65" t="s">
        <v>740</v>
      </c>
      <c r="C18" s="360">
        <v>7230</v>
      </c>
      <c r="D18" s="941">
        <f>SUM(D19:D20)</f>
        <v>128</v>
      </c>
      <c r="E18" s="941">
        <f>SUM(E19:E20)</f>
        <v>76</v>
      </c>
      <c r="F18" s="941">
        <f>SUM(F19:F20)</f>
        <v>51</v>
      </c>
    </row>
    <row r="19" spans="1:9" ht="30.75" thickBot="1">
      <c r="A19" s="545" t="s">
        <v>2257</v>
      </c>
      <c r="B19" s="65" t="s">
        <v>2607</v>
      </c>
      <c r="C19" s="360">
        <v>7240</v>
      </c>
      <c r="D19" s="943">
        <v>28</v>
      </c>
      <c r="E19" s="943">
        <v>16</v>
      </c>
      <c r="F19" s="943">
        <v>11</v>
      </c>
    </row>
    <row r="20" spans="1:9" ht="30.75" thickBot="1">
      <c r="A20" s="545" t="s">
        <v>2259</v>
      </c>
      <c r="B20" s="65" t="s">
        <v>2260</v>
      </c>
      <c r="C20" s="360">
        <v>7250</v>
      </c>
      <c r="D20" s="943">
        <v>100</v>
      </c>
      <c r="E20" s="943">
        <v>60</v>
      </c>
      <c r="F20" s="943">
        <v>40</v>
      </c>
    </row>
    <row r="21" spans="1:9" ht="15.75" thickBot="1">
      <c r="A21" s="255" t="s">
        <v>1591</v>
      </c>
      <c r="B21" s="65"/>
      <c r="C21" s="360">
        <v>7260</v>
      </c>
      <c r="D21" s="943">
        <v>28</v>
      </c>
      <c r="E21" s="943">
        <v>16</v>
      </c>
      <c r="F21" s="943">
        <v>11</v>
      </c>
    </row>
    <row r="22" spans="1:9" ht="15.75" thickBot="1">
      <c r="A22" s="543" t="s">
        <v>2325</v>
      </c>
      <c r="B22" s="65" t="s">
        <v>740</v>
      </c>
      <c r="C22" s="360">
        <v>7270</v>
      </c>
      <c r="D22" s="943">
        <v>28</v>
      </c>
      <c r="E22" s="943">
        <v>16</v>
      </c>
      <c r="F22" s="943">
        <v>11</v>
      </c>
    </row>
    <row r="23" spans="1:9" ht="15.75" thickBot="1">
      <c r="A23" s="543" t="s">
        <v>1475</v>
      </c>
      <c r="B23" s="65"/>
      <c r="C23" s="428">
        <v>7280</v>
      </c>
      <c r="D23" s="943">
        <v>36</v>
      </c>
      <c r="E23" s="943">
        <v>32</v>
      </c>
      <c r="F23" s="943">
        <v>17</v>
      </c>
    </row>
    <row r="24" spans="1:9" ht="15.75" thickBot="1">
      <c r="A24" s="550" t="s">
        <v>1059</v>
      </c>
      <c r="B24" s="548"/>
      <c r="C24" s="341">
        <v>7999</v>
      </c>
      <c r="D24" s="941">
        <f>SUM(D5,D10,D15,D22:D23)</f>
        <v>500</v>
      </c>
      <c r="E24" s="941">
        <f>SUM(E5,E10,E15,E22:E23)</f>
        <v>300</v>
      </c>
      <c r="F24" s="941">
        <f>SUM(F5,F10,F15,F22:F23)</f>
        <v>200</v>
      </c>
      <c r="G24" s="829">
        <f>'1.2'!F5</f>
        <v>500</v>
      </c>
      <c r="H24" s="829">
        <f>'1.2'!G5</f>
        <v>300</v>
      </c>
      <c r="I24" s="829">
        <f>'1.2'!H5</f>
        <v>200</v>
      </c>
    </row>
    <row r="27" spans="1:9">
      <c r="A27" s="15"/>
    </row>
    <row r="28" spans="1:9" s="12" customFormat="1" ht="13.5">
      <c r="A28" s="41"/>
      <c r="B28" s="1102"/>
      <c r="C28" s="37">
        <v>770</v>
      </c>
      <c r="D28" s="28" t="b">
        <f>D24=D5+D10+D15+D22+D23</f>
        <v>1</v>
      </c>
      <c r="E28" s="29" t="s">
        <v>1780</v>
      </c>
    </row>
    <row r="29" spans="1:9" s="12" customFormat="1" ht="13.5">
      <c r="A29" s="41"/>
      <c r="B29" s="1102"/>
      <c r="C29" s="37">
        <v>780</v>
      </c>
      <c r="D29" s="28" t="b">
        <f>E24=E5+E10+E15+E22+E23</f>
        <v>1</v>
      </c>
      <c r="E29" s="29" t="s">
        <v>1781</v>
      </c>
    </row>
    <row r="30" spans="1:9" s="12" customFormat="1" ht="13.5">
      <c r="A30" s="41"/>
      <c r="B30" s="1102"/>
      <c r="C30" s="37">
        <v>790</v>
      </c>
      <c r="D30" s="28" t="b">
        <f>F24=F5+F10+F15+F22+F23</f>
        <v>1</v>
      </c>
      <c r="E30" s="29" t="s">
        <v>1782</v>
      </c>
    </row>
    <row r="31" spans="1:9" s="12" customFormat="1" ht="13.5">
      <c r="A31" s="41"/>
      <c r="B31" s="1102"/>
      <c r="C31" s="37">
        <v>800</v>
      </c>
      <c r="D31" s="28" t="b">
        <f>D15=D16+D17+D18+D21</f>
        <v>1</v>
      </c>
      <c r="E31" s="29" t="s">
        <v>1783</v>
      </c>
    </row>
    <row r="32" spans="1:9" s="12" customFormat="1" ht="13.5">
      <c r="A32" s="41"/>
      <c r="B32" s="1102"/>
      <c r="C32" s="37">
        <v>810</v>
      </c>
      <c r="D32" s="28" t="b">
        <f>E15=E16+E17+E18+E21</f>
        <v>1</v>
      </c>
      <c r="E32" s="29" t="s">
        <v>1784</v>
      </c>
    </row>
    <row r="33" spans="1:5" s="12" customFormat="1" ht="13.5">
      <c r="A33" s="41"/>
      <c r="B33" s="1102"/>
      <c r="C33" s="37">
        <v>820</v>
      </c>
      <c r="D33" s="28" t="b">
        <f>F15=F16+F17+F18+F21</f>
        <v>1</v>
      </c>
      <c r="E33" s="29" t="s">
        <v>1785</v>
      </c>
    </row>
    <row r="34" spans="1:5" s="12" customFormat="1" ht="13.5">
      <c r="A34" s="41"/>
      <c r="B34" s="1102"/>
      <c r="C34" s="37">
        <v>830</v>
      </c>
      <c r="D34" s="28" t="b">
        <f>D5=SUM(D6:D9)</f>
        <v>1</v>
      </c>
      <c r="E34" s="29" t="s">
        <v>1786</v>
      </c>
    </row>
    <row r="35" spans="1:5" s="12" customFormat="1" ht="13.5">
      <c r="A35" s="41"/>
      <c r="B35" s="1102"/>
      <c r="C35" s="37">
        <v>840</v>
      </c>
      <c r="D35" s="28" t="b">
        <f>E5=SUM(E6:E9)</f>
        <v>1</v>
      </c>
      <c r="E35" s="29" t="s">
        <v>1787</v>
      </c>
    </row>
    <row r="36" spans="1:5" s="12" customFormat="1" ht="13.5">
      <c r="A36" s="41"/>
      <c r="B36" s="1102"/>
      <c r="C36" s="37">
        <v>850</v>
      </c>
      <c r="D36" s="28" t="b">
        <f>F5=SUM(F6:F9)</f>
        <v>1</v>
      </c>
      <c r="E36" s="29" t="s">
        <v>1788</v>
      </c>
    </row>
    <row r="37" spans="1:5" s="12" customFormat="1" ht="13.5">
      <c r="A37" s="41"/>
      <c r="B37" s="1102"/>
      <c r="C37" s="37">
        <v>860</v>
      </c>
      <c r="D37" s="28" t="b">
        <f>D10=SUM(D11:D14)</f>
        <v>1</v>
      </c>
      <c r="E37" s="29" t="s">
        <v>1789</v>
      </c>
    </row>
    <row r="38" spans="1:5" s="12" customFormat="1" ht="13.5">
      <c r="A38" s="41"/>
      <c r="B38" s="1102"/>
      <c r="C38" s="37">
        <v>870</v>
      </c>
      <c r="D38" s="28" t="b">
        <f>E10=SUM(E11:E14)</f>
        <v>1</v>
      </c>
      <c r="E38" s="29" t="s">
        <v>1790</v>
      </c>
    </row>
    <row r="39" spans="1:5" s="12" customFormat="1" ht="13.5">
      <c r="A39" s="41"/>
      <c r="B39" s="1102"/>
      <c r="C39" s="37">
        <v>880</v>
      </c>
      <c r="D39" s="28" t="b">
        <f>F10=SUM(F11:F14)</f>
        <v>1</v>
      </c>
      <c r="E39" s="29" t="s">
        <v>1791</v>
      </c>
    </row>
    <row r="40" spans="1:5" s="12" customFormat="1" ht="13.5">
      <c r="A40" s="41"/>
      <c r="B40" s="1102"/>
      <c r="C40" s="37">
        <v>890</v>
      </c>
      <c r="D40" s="28" t="b">
        <f>D18=D19+D20</f>
        <v>1</v>
      </c>
      <c r="E40" s="29" t="s">
        <v>1792</v>
      </c>
    </row>
    <row r="41" spans="1:5" s="12" customFormat="1" ht="13.5">
      <c r="A41" s="41"/>
      <c r="B41" s="1102"/>
      <c r="C41" s="37">
        <v>900</v>
      </c>
      <c r="D41" s="28" t="b">
        <f>E18=E19+E20</f>
        <v>1</v>
      </c>
      <c r="E41" s="29" t="s">
        <v>1793</v>
      </c>
    </row>
    <row r="42" spans="1:5" s="12" customFormat="1" ht="13.5">
      <c r="A42" s="41"/>
      <c r="B42" s="1102"/>
      <c r="C42" s="37">
        <v>910</v>
      </c>
      <c r="D42" s="28" t="b">
        <f>F18=F19+F20</f>
        <v>1</v>
      </c>
      <c r="E42" s="29" t="s">
        <v>1794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33" orientation="landscape" r:id="rId4"/>
  <headerFooter alignWithMargins="0">
    <oddHeader xml:space="preserve">&amp;C21.B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Normal="100" zoomScaleSheetLayoutView="100" workbookViewId="0"/>
  </sheetViews>
  <sheetFormatPr defaultRowHeight="12.75"/>
  <cols>
    <col min="1" max="1" width="50.140625" bestFit="1" customWidth="1"/>
    <col min="2" max="2" width="16.5703125" style="16" customWidth="1"/>
    <col min="3" max="3" width="8.7109375" style="16" customWidth="1"/>
    <col min="4" max="4" width="9.42578125" customWidth="1"/>
    <col min="5" max="5" width="10" customWidth="1"/>
    <col min="6" max="6" width="9.7109375" customWidth="1"/>
    <col min="7" max="7" width="9.5703125" customWidth="1"/>
    <col min="8" max="8" width="10.7109375" customWidth="1"/>
    <col min="11" max="11" width="36.85546875" customWidth="1"/>
    <col min="14" max="14" width="10.85546875" customWidth="1"/>
    <col min="15" max="15" width="10" customWidth="1"/>
    <col min="16" max="16" width="8.85546875" bestFit="1" customWidth="1"/>
    <col min="17" max="17" width="5.7109375" bestFit="1" customWidth="1"/>
    <col min="18" max="18" width="8.85546875" bestFit="1" customWidth="1"/>
  </cols>
  <sheetData>
    <row r="1" spans="1:9" s="5" customFormat="1" ht="16.5" thickBot="1">
      <c r="A1" s="477" t="s">
        <v>1670</v>
      </c>
      <c r="B1" s="279"/>
      <c r="C1" s="279"/>
      <c r="D1" s="279"/>
      <c r="E1" s="279"/>
      <c r="F1" s="279"/>
      <c r="G1" s="279"/>
      <c r="H1" s="279"/>
    </row>
    <row r="2" spans="1:9" ht="120.75" customHeight="1" thickBot="1">
      <c r="A2" s="338" t="s">
        <v>2264</v>
      </c>
      <c r="B2" s="280"/>
      <c r="C2" s="522"/>
      <c r="D2" s="271" t="s">
        <v>2561</v>
      </c>
      <c r="E2" s="271" t="s">
        <v>1849</v>
      </c>
      <c r="F2" s="271" t="s">
        <v>1425</v>
      </c>
      <c r="G2" s="271" t="s">
        <v>1851</v>
      </c>
      <c r="H2" s="271" t="s">
        <v>2204</v>
      </c>
    </row>
    <row r="3" spans="1:9" ht="30.75" thickBot="1">
      <c r="A3" s="87"/>
      <c r="B3" s="554" t="s">
        <v>2173</v>
      </c>
      <c r="C3" s="58"/>
      <c r="D3" s="556"/>
      <c r="E3" s="556"/>
      <c r="F3" s="556"/>
      <c r="G3" s="556"/>
      <c r="H3" s="554" t="s">
        <v>821</v>
      </c>
    </row>
    <row r="4" spans="1:9" ht="15" customHeight="1" thickBot="1">
      <c r="A4" s="281"/>
      <c r="B4" s="60"/>
      <c r="C4" s="341" t="s">
        <v>1134</v>
      </c>
      <c r="D4" s="283" t="s">
        <v>1013</v>
      </c>
      <c r="E4" s="283" t="s">
        <v>1014</v>
      </c>
      <c r="F4" s="283" t="s">
        <v>1015</v>
      </c>
      <c r="G4" s="283" t="s">
        <v>1016</v>
      </c>
      <c r="H4" s="519" t="s">
        <v>525</v>
      </c>
    </row>
    <row r="5" spans="1:9" ht="15.75" thickBot="1">
      <c r="A5" s="557" t="s">
        <v>1472</v>
      </c>
      <c r="B5" s="65" t="s">
        <v>740</v>
      </c>
      <c r="C5" s="342">
        <v>7100</v>
      </c>
      <c r="D5" s="945"/>
      <c r="E5" s="945"/>
      <c r="F5" s="945"/>
      <c r="G5" s="945"/>
      <c r="H5" s="941">
        <f>SUM(H6:H9)</f>
        <v>220</v>
      </c>
      <c r="I5" s="952">
        <f>H5-'22.b'!D5-'22.b'!E5-'22.b'!F5</f>
        <v>0</v>
      </c>
    </row>
    <row r="6" spans="1:9" ht="15.75" thickBot="1">
      <c r="A6" s="255" t="s">
        <v>2174</v>
      </c>
      <c r="B6" s="65" t="s">
        <v>2175</v>
      </c>
      <c r="C6" s="360">
        <v>7110</v>
      </c>
      <c r="D6" s="946"/>
      <c r="E6" s="946"/>
      <c r="F6" s="946"/>
      <c r="G6" s="946"/>
      <c r="H6" s="943">
        <v>55</v>
      </c>
      <c r="I6" s="952">
        <f>H6-'22.b'!D6-'22.b'!E6-'22.b'!F6</f>
        <v>0</v>
      </c>
    </row>
    <row r="7" spans="1:9" ht="15.75" thickBot="1">
      <c r="A7" s="255" t="s">
        <v>2176</v>
      </c>
      <c r="B7" s="65" t="s">
        <v>2175</v>
      </c>
      <c r="C7" s="360">
        <v>7120</v>
      </c>
      <c r="D7" s="946"/>
      <c r="E7" s="946"/>
      <c r="F7" s="946"/>
      <c r="G7" s="946"/>
      <c r="H7" s="943">
        <v>55</v>
      </c>
      <c r="I7" s="952">
        <f>H7-'22.b'!D7-'22.b'!E7-'22.b'!F7</f>
        <v>0</v>
      </c>
    </row>
    <row r="8" spans="1:9" ht="15.75" thickBot="1">
      <c r="A8" s="255" t="s">
        <v>2177</v>
      </c>
      <c r="B8" s="65" t="s">
        <v>2175</v>
      </c>
      <c r="C8" s="360">
        <v>7130</v>
      </c>
      <c r="D8" s="946"/>
      <c r="E8" s="946"/>
      <c r="F8" s="946"/>
      <c r="G8" s="946"/>
      <c r="H8" s="943">
        <v>55</v>
      </c>
      <c r="I8" s="952">
        <f>H8-'22.b'!D8-'22.b'!E8-'22.b'!F8</f>
        <v>0</v>
      </c>
    </row>
    <row r="9" spans="1:9" ht="15.75" thickBot="1">
      <c r="A9" s="255" t="s">
        <v>2178</v>
      </c>
      <c r="B9" s="65" t="s">
        <v>2175</v>
      </c>
      <c r="C9" s="360">
        <v>7140</v>
      </c>
      <c r="D9" s="946"/>
      <c r="E9" s="946"/>
      <c r="F9" s="946"/>
      <c r="G9" s="946"/>
      <c r="H9" s="943">
        <v>55</v>
      </c>
      <c r="I9" s="952">
        <f>H9-'22.b'!D9-'22.b'!E9-'22.b'!F9</f>
        <v>0</v>
      </c>
    </row>
    <row r="10" spans="1:9" ht="15.75" thickBot="1">
      <c r="A10" s="416" t="s">
        <v>2250</v>
      </c>
      <c r="B10" s="417" t="s">
        <v>740</v>
      </c>
      <c r="C10" s="360">
        <v>7150</v>
      </c>
      <c r="D10" s="941">
        <f>SUM(D11:D14)</f>
        <v>85</v>
      </c>
      <c r="E10" s="941">
        <f>SUM(E11:E14)</f>
        <v>60</v>
      </c>
      <c r="F10" s="941">
        <f>SUM(F11:F14)</f>
        <v>46</v>
      </c>
      <c r="G10" s="941">
        <f>SUM(G11:G14)</f>
        <v>29</v>
      </c>
      <c r="H10" s="941">
        <f>SUM(H11:H14)</f>
        <v>220</v>
      </c>
      <c r="I10" s="952">
        <f>H10-'22.b'!D10-'22.b'!E10-'22.b'!F10</f>
        <v>0</v>
      </c>
    </row>
    <row r="11" spans="1:9" ht="15.75" thickBot="1">
      <c r="A11" s="255" t="s">
        <v>2174</v>
      </c>
      <c r="B11" s="65" t="s">
        <v>2175</v>
      </c>
      <c r="C11" s="360">
        <v>7160</v>
      </c>
      <c r="D11" s="943">
        <v>20</v>
      </c>
      <c r="E11" s="943">
        <v>15</v>
      </c>
      <c r="F11" s="943">
        <v>12</v>
      </c>
      <c r="G11" s="943">
        <v>8</v>
      </c>
      <c r="H11" s="941">
        <f>SUM(D11:G11)</f>
        <v>55</v>
      </c>
      <c r="I11" s="952">
        <f>H11-'22.b'!D11-'22.b'!E11-'22.b'!F11</f>
        <v>0</v>
      </c>
    </row>
    <row r="12" spans="1:9" ht="15.75" thickBot="1">
      <c r="A12" s="255" t="s">
        <v>2176</v>
      </c>
      <c r="B12" s="65" t="s">
        <v>2175</v>
      </c>
      <c r="C12" s="360">
        <v>7170</v>
      </c>
      <c r="D12" s="943">
        <v>20</v>
      </c>
      <c r="E12" s="943">
        <v>15</v>
      </c>
      <c r="F12" s="943">
        <v>12</v>
      </c>
      <c r="G12" s="943">
        <v>8</v>
      </c>
      <c r="H12" s="941">
        <f>SUM(D12:G12)</f>
        <v>55</v>
      </c>
      <c r="I12" s="952">
        <f>H12-'22.b'!D12-'22.b'!E12-'22.b'!F12</f>
        <v>0</v>
      </c>
    </row>
    <row r="13" spans="1:9" ht="15.75" thickBot="1">
      <c r="A13" s="255" t="s">
        <v>2177</v>
      </c>
      <c r="B13" s="65" t="s">
        <v>2175</v>
      </c>
      <c r="C13" s="360">
        <v>7180</v>
      </c>
      <c r="D13" s="943">
        <v>20</v>
      </c>
      <c r="E13" s="943">
        <v>15</v>
      </c>
      <c r="F13" s="943">
        <v>12</v>
      </c>
      <c r="G13" s="943">
        <v>8</v>
      </c>
      <c r="H13" s="941">
        <f>SUM(D13:G13)</f>
        <v>55</v>
      </c>
      <c r="I13" s="952">
        <f>H13-'22.b'!D13-'22.b'!E13-'22.b'!F13</f>
        <v>0</v>
      </c>
    </row>
    <row r="14" spans="1:9" ht="15.75" thickBot="1">
      <c r="A14" s="255" t="s">
        <v>2178</v>
      </c>
      <c r="B14" s="65" t="s">
        <v>2175</v>
      </c>
      <c r="C14" s="360">
        <v>7190</v>
      </c>
      <c r="D14" s="941">
        <f>SUM(D15:D19)</f>
        <v>25</v>
      </c>
      <c r="E14" s="941">
        <f>SUM(E15:E19)</f>
        <v>15</v>
      </c>
      <c r="F14" s="941">
        <f>SUM(F15:F19)</f>
        <v>10</v>
      </c>
      <c r="G14" s="941">
        <f>SUM(G15:G19)</f>
        <v>5</v>
      </c>
      <c r="H14" s="941">
        <f>SUM(H15:H19)</f>
        <v>55</v>
      </c>
      <c r="I14" s="952">
        <f>H14-'22.b'!D14-'22.b'!E14-'22.b'!F14</f>
        <v>0</v>
      </c>
    </row>
    <row r="15" spans="1:9" ht="15.75" thickBot="1">
      <c r="A15" s="558" t="s">
        <v>2672</v>
      </c>
      <c r="B15" s="417" t="s">
        <v>2673</v>
      </c>
      <c r="C15" s="360">
        <v>7200</v>
      </c>
      <c r="D15" s="943">
        <v>5</v>
      </c>
      <c r="E15" s="943">
        <v>3</v>
      </c>
      <c r="F15" s="943">
        <v>2</v>
      </c>
      <c r="G15" s="943">
        <v>1</v>
      </c>
      <c r="H15" s="941">
        <f>SUM(D15:G15)</f>
        <v>11</v>
      </c>
      <c r="I15" s="952">
        <f>H15-'22.b'!D15-'22.b'!E15-'22.b'!F15</f>
        <v>0</v>
      </c>
    </row>
    <row r="16" spans="1:9" ht="15.75" thickBot="1">
      <c r="A16" s="558" t="s">
        <v>2674</v>
      </c>
      <c r="B16" s="417" t="s">
        <v>2675</v>
      </c>
      <c r="C16" s="360">
        <v>7210</v>
      </c>
      <c r="D16" s="943">
        <v>5</v>
      </c>
      <c r="E16" s="943">
        <v>3</v>
      </c>
      <c r="F16" s="943">
        <v>2</v>
      </c>
      <c r="G16" s="943">
        <v>1</v>
      </c>
      <c r="H16" s="941">
        <f>SUM(D16:G16)</f>
        <v>11</v>
      </c>
      <c r="I16" s="952">
        <f>H16-'22.b'!D16-'22.b'!E16-'22.b'!F16</f>
        <v>0</v>
      </c>
    </row>
    <row r="17" spans="1:9" ht="15.75" thickBot="1">
      <c r="A17" s="558" t="s">
        <v>2054</v>
      </c>
      <c r="B17" s="417" t="s">
        <v>2055</v>
      </c>
      <c r="C17" s="360">
        <v>7220</v>
      </c>
      <c r="D17" s="943">
        <v>5</v>
      </c>
      <c r="E17" s="943">
        <v>3</v>
      </c>
      <c r="F17" s="943">
        <v>2</v>
      </c>
      <c r="G17" s="943">
        <v>1</v>
      </c>
      <c r="H17" s="941">
        <f>SUM(D17:G17)</f>
        <v>11</v>
      </c>
      <c r="I17" s="952">
        <f>H17-'22.b'!D17-'22.b'!E17-'22.b'!F17</f>
        <v>0</v>
      </c>
    </row>
    <row r="18" spans="1:9" ht="15.75" thickBot="1">
      <c r="A18" s="558" t="s">
        <v>2178</v>
      </c>
      <c r="B18" s="417" t="s">
        <v>740</v>
      </c>
      <c r="C18" s="360">
        <v>7230</v>
      </c>
      <c r="D18" s="943">
        <v>5</v>
      </c>
      <c r="E18" s="943">
        <v>3</v>
      </c>
      <c r="F18" s="943">
        <v>2</v>
      </c>
      <c r="G18" s="943">
        <v>1</v>
      </c>
      <c r="H18" s="941">
        <f>SUM(D18:G18)</f>
        <v>11</v>
      </c>
      <c r="I18" s="952">
        <f>H18-'22.b'!D18-'22.b'!E18-'22.b'!F18</f>
        <v>0</v>
      </c>
    </row>
    <row r="19" spans="1:9" ht="15.75" thickBot="1">
      <c r="A19" s="558" t="s">
        <v>1666</v>
      </c>
      <c r="B19" s="417" t="s">
        <v>1667</v>
      </c>
      <c r="C19" s="360">
        <v>7240</v>
      </c>
      <c r="D19" s="943">
        <v>5</v>
      </c>
      <c r="E19" s="943">
        <v>3</v>
      </c>
      <c r="F19" s="943">
        <v>2</v>
      </c>
      <c r="G19" s="943">
        <v>1</v>
      </c>
      <c r="H19" s="941">
        <f>SUM(D19:G19)</f>
        <v>11</v>
      </c>
      <c r="I19" s="952">
        <f>H19-'22.b'!D19-'22.b'!E19-'22.b'!F19</f>
        <v>0</v>
      </c>
    </row>
    <row r="20" spans="1:9" ht="15.75" thickBot="1">
      <c r="A20" s="416" t="s">
        <v>2251</v>
      </c>
      <c r="B20" s="417" t="s">
        <v>740</v>
      </c>
      <c r="C20" s="360">
        <v>7250</v>
      </c>
      <c r="D20" s="945"/>
      <c r="E20" s="945"/>
      <c r="F20" s="945"/>
      <c r="G20" s="945"/>
      <c r="H20" s="941">
        <f>SUM(H21:H23,H26)</f>
        <v>420</v>
      </c>
      <c r="I20" s="952">
        <f>H20-'22.b'!D20-'22.b'!E20-'22.b'!F20</f>
        <v>0</v>
      </c>
    </row>
    <row r="21" spans="1:9" ht="15.75" thickBot="1">
      <c r="A21" s="255" t="s">
        <v>2253</v>
      </c>
      <c r="B21" s="65" t="s">
        <v>740</v>
      </c>
      <c r="C21" s="360">
        <v>7260</v>
      </c>
      <c r="D21" s="947"/>
      <c r="E21" s="947"/>
      <c r="F21" s="947"/>
      <c r="G21" s="947"/>
      <c r="H21" s="943">
        <v>55</v>
      </c>
      <c r="I21" s="952">
        <f>H21-'22.b'!D21-'22.b'!E21-'22.b'!F21</f>
        <v>0</v>
      </c>
    </row>
    <row r="22" spans="1:9" ht="30.75" thickBot="1">
      <c r="A22" s="559" t="s">
        <v>2254</v>
      </c>
      <c r="B22" s="543" t="s">
        <v>2255</v>
      </c>
      <c r="C22" s="360">
        <v>7270</v>
      </c>
      <c r="D22" s="947"/>
      <c r="E22" s="947"/>
      <c r="F22" s="947"/>
      <c r="G22" s="947"/>
      <c r="H22" s="943">
        <v>55</v>
      </c>
      <c r="I22" s="952">
        <f>H22-'22.b'!D22-'22.b'!E22-'22.b'!F22</f>
        <v>0</v>
      </c>
    </row>
    <row r="23" spans="1:9" ht="15.75" thickBot="1">
      <c r="A23" s="560" t="s">
        <v>2256</v>
      </c>
      <c r="B23" s="251" t="s">
        <v>740</v>
      </c>
      <c r="C23" s="360">
        <v>7280</v>
      </c>
      <c r="D23" s="948"/>
      <c r="E23" s="948"/>
      <c r="F23" s="948"/>
      <c r="G23" s="948"/>
      <c r="H23" s="941">
        <f>SUM(H24:H25)</f>
        <v>255</v>
      </c>
      <c r="I23" s="952">
        <f>H23-'22.b'!D23-'22.b'!E23-'22.b'!F23</f>
        <v>0</v>
      </c>
    </row>
    <row r="24" spans="1:9" ht="30.75" thickBot="1">
      <c r="A24" s="561" t="s">
        <v>2257</v>
      </c>
      <c r="B24" s="251" t="s">
        <v>2607</v>
      </c>
      <c r="C24" s="360">
        <v>7290</v>
      </c>
      <c r="D24" s="948"/>
      <c r="E24" s="948"/>
      <c r="F24" s="948"/>
      <c r="G24" s="948"/>
      <c r="H24" s="943">
        <v>55</v>
      </c>
      <c r="I24" s="952">
        <f>H24-'22.b'!D24-'22.b'!E24-'22.b'!F24</f>
        <v>0</v>
      </c>
    </row>
    <row r="25" spans="1:9" ht="30.75" thickBot="1">
      <c r="A25" s="562" t="s">
        <v>2259</v>
      </c>
      <c r="B25" s="543" t="s">
        <v>2260</v>
      </c>
      <c r="C25" s="360">
        <v>7300</v>
      </c>
      <c r="D25" s="949"/>
      <c r="E25" s="949"/>
      <c r="F25" s="949"/>
      <c r="G25" s="949"/>
      <c r="H25" s="943">
        <v>200</v>
      </c>
      <c r="I25" s="952">
        <f>H25-'22.b'!D25-'22.b'!E25-'22.b'!F25</f>
        <v>0</v>
      </c>
    </row>
    <row r="26" spans="1:9" ht="15.75" thickBot="1">
      <c r="A26" s="563" t="s">
        <v>1591</v>
      </c>
      <c r="B26" s="65" t="s">
        <v>740</v>
      </c>
      <c r="C26" s="360">
        <v>7310</v>
      </c>
      <c r="D26" s="950"/>
      <c r="E26" s="950"/>
      <c r="F26" s="950"/>
      <c r="G26" s="950"/>
      <c r="H26" s="943">
        <v>55</v>
      </c>
      <c r="I26" s="952">
        <f>H26-'22.b'!D26-'22.b'!E26-'22.b'!F26</f>
        <v>0</v>
      </c>
    </row>
    <row r="27" spans="1:9" ht="17.25" customHeight="1" thickBot="1">
      <c r="A27" s="543" t="s">
        <v>2325</v>
      </c>
      <c r="B27" s="65"/>
      <c r="C27" s="360">
        <v>7320</v>
      </c>
      <c r="D27" s="945"/>
      <c r="E27" s="945"/>
      <c r="F27" s="945"/>
      <c r="G27" s="945"/>
      <c r="H27" s="943">
        <v>55</v>
      </c>
      <c r="I27" s="952">
        <f>H27-'22.b'!D27-'22.b'!E27-'22.b'!F27</f>
        <v>0</v>
      </c>
    </row>
    <row r="28" spans="1:9" ht="24.75" customHeight="1" thickBot="1">
      <c r="A28" s="543" t="s">
        <v>1668</v>
      </c>
      <c r="B28" s="65"/>
      <c r="C28" s="428">
        <v>7330</v>
      </c>
      <c r="D28" s="945"/>
      <c r="E28" s="945"/>
      <c r="F28" s="945"/>
      <c r="G28" s="945"/>
      <c r="H28" s="943">
        <v>85</v>
      </c>
      <c r="I28" s="952">
        <f>H28-'22.b'!D28-'22.b'!E28-'22.b'!F28</f>
        <v>0</v>
      </c>
    </row>
    <row r="29" spans="1:9" ht="15.75" thickBot="1">
      <c r="A29" s="555" t="s">
        <v>897</v>
      </c>
      <c r="B29" s="114"/>
      <c r="C29" s="282">
        <v>7800</v>
      </c>
      <c r="D29" s="944"/>
      <c r="E29" s="944"/>
      <c r="F29" s="944"/>
      <c r="G29" s="944"/>
      <c r="H29" s="943">
        <v>0</v>
      </c>
      <c r="I29" s="952"/>
    </row>
    <row r="30" spans="1:9" ht="15.75" thickBot="1">
      <c r="A30" s="285" t="s">
        <v>1059</v>
      </c>
      <c r="B30" s="564"/>
      <c r="C30" s="341">
        <v>7999</v>
      </c>
      <c r="D30" s="951"/>
      <c r="E30" s="951"/>
      <c r="F30" s="951"/>
      <c r="G30" s="951"/>
      <c r="H30" s="941">
        <f>SUM(H5,H10,H20,H27:H29)</f>
        <v>1000</v>
      </c>
      <c r="I30" s="952">
        <f>H30-'22.b'!D30-'22.b'!E30-'22.b'!F30-H30</f>
        <v>0</v>
      </c>
    </row>
    <row r="31" spans="1:9">
      <c r="A31" s="16"/>
      <c r="C31"/>
      <c r="H31" s="829">
        <f>H30-'1.2'!E6</f>
        <v>0</v>
      </c>
    </row>
    <row r="33" spans="1:10" s="12" customFormat="1" ht="11.25" customHeight="1">
      <c r="A33" s="41"/>
      <c r="B33" s="45"/>
      <c r="C33" s="37">
        <v>10</v>
      </c>
      <c r="D33" s="28" t="b">
        <f>H5=SUM(H6:H9)</f>
        <v>1</v>
      </c>
      <c r="E33" s="29" t="s">
        <v>1795</v>
      </c>
    </row>
    <row r="34" spans="1:10" s="12" customFormat="1" ht="11.25" customHeight="1">
      <c r="A34" s="41"/>
      <c r="B34" s="45"/>
      <c r="C34" s="37">
        <v>20</v>
      </c>
      <c r="D34" s="28" t="b">
        <f>H10=SUM(D10:G10)</f>
        <v>1</v>
      </c>
      <c r="E34" s="29" t="s">
        <v>1796</v>
      </c>
    </row>
    <row r="35" spans="1:10" s="12" customFormat="1" ht="11.25" customHeight="1">
      <c r="A35" s="41"/>
      <c r="B35" s="45"/>
      <c r="C35" s="37">
        <v>30</v>
      </c>
      <c r="D35" s="28" t="b">
        <f t="shared" ref="D35:D43" si="0">H11=SUM(D11:G11)</f>
        <v>1</v>
      </c>
      <c r="E35" s="29" t="s">
        <v>1797</v>
      </c>
    </row>
    <row r="36" spans="1:10" s="12" customFormat="1" ht="11.25" customHeight="1">
      <c r="A36" s="41"/>
      <c r="B36" s="45"/>
      <c r="C36" s="37">
        <v>40</v>
      </c>
      <c r="D36" s="28" t="b">
        <f t="shared" si="0"/>
        <v>1</v>
      </c>
      <c r="E36" s="29" t="s">
        <v>1798</v>
      </c>
    </row>
    <row r="37" spans="1:10" s="12" customFormat="1" ht="11.25" customHeight="1">
      <c r="A37" s="41"/>
      <c r="B37" s="45"/>
      <c r="C37" s="37">
        <v>50</v>
      </c>
      <c r="D37" s="28" t="b">
        <f t="shared" si="0"/>
        <v>1</v>
      </c>
      <c r="E37" s="29" t="s">
        <v>2445</v>
      </c>
    </row>
    <row r="38" spans="1:10" s="12" customFormat="1" ht="11.25" customHeight="1">
      <c r="A38" s="41"/>
      <c r="B38" s="45"/>
      <c r="C38" s="37">
        <v>60</v>
      </c>
      <c r="D38" s="28" t="b">
        <f t="shared" si="0"/>
        <v>1</v>
      </c>
      <c r="E38" s="29" t="s">
        <v>2446</v>
      </c>
    </row>
    <row r="39" spans="1:10" s="12" customFormat="1" ht="11.25" customHeight="1">
      <c r="A39" s="41"/>
      <c r="B39" s="45"/>
      <c r="C39" s="37">
        <v>70</v>
      </c>
      <c r="D39" s="28" t="b">
        <f t="shared" si="0"/>
        <v>1</v>
      </c>
      <c r="E39" s="29" t="s">
        <v>2447</v>
      </c>
    </row>
    <row r="40" spans="1:10" s="12" customFormat="1" ht="11.25" customHeight="1">
      <c r="A40" s="41"/>
      <c r="B40" s="45"/>
      <c r="C40" s="37">
        <v>80</v>
      </c>
      <c r="D40" s="28" t="b">
        <f t="shared" si="0"/>
        <v>1</v>
      </c>
      <c r="E40" s="29" t="s">
        <v>2448</v>
      </c>
    </row>
    <row r="41" spans="1:10" s="12" customFormat="1" ht="11.25" customHeight="1">
      <c r="A41" s="41"/>
      <c r="B41" s="45"/>
      <c r="C41" s="37">
        <v>90</v>
      </c>
      <c r="D41" s="28" t="b">
        <f t="shared" si="0"/>
        <v>1</v>
      </c>
      <c r="E41" s="29" t="s">
        <v>2449</v>
      </c>
    </row>
    <row r="42" spans="1:10" s="12" customFormat="1" ht="11.25" customHeight="1">
      <c r="A42" s="41"/>
      <c r="B42" s="45"/>
      <c r="C42" s="37">
        <v>100</v>
      </c>
      <c r="D42" s="28" t="b">
        <f t="shared" si="0"/>
        <v>1</v>
      </c>
      <c r="E42" s="29" t="s">
        <v>2450</v>
      </c>
    </row>
    <row r="43" spans="1:10" s="12" customFormat="1" ht="11.25" customHeight="1">
      <c r="A43" s="41"/>
      <c r="B43" s="45"/>
      <c r="C43" s="37">
        <v>110</v>
      </c>
      <c r="D43" s="28" t="b">
        <f t="shared" si="0"/>
        <v>1</v>
      </c>
      <c r="E43" s="29" t="s">
        <v>2451</v>
      </c>
    </row>
    <row r="44" spans="1:10" s="12" customFormat="1" ht="11.25" customHeight="1">
      <c r="A44" s="41"/>
      <c r="B44" s="45"/>
      <c r="C44" s="37">
        <v>120</v>
      </c>
      <c r="D44" s="28" t="b">
        <f>D14=SUM(D15:D19)</f>
        <v>1</v>
      </c>
      <c r="E44" s="29" t="s">
        <v>2452</v>
      </c>
      <c r="F44" s="41"/>
      <c r="G44" s="41"/>
      <c r="H44" s="41"/>
      <c r="I44" s="41"/>
      <c r="J44" s="41"/>
    </row>
    <row r="45" spans="1:10" s="12" customFormat="1" ht="11.25" customHeight="1">
      <c r="A45" s="41"/>
      <c r="B45" s="45"/>
      <c r="C45" s="37">
        <v>130</v>
      </c>
      <c r="D45" s="28" t="b">
        <f>E14=SUM(E15:E19)</f>
        <v>1</v>
      </c>
      <c r="E45" s="29" t="s">
        <v>1081</v>
      </c>
      <c r="F45" s="41"/>
      <c r="G45" s="41"/>
      <c r="H45" s="41"/>
      <c r="I45" s="41"/>
      <c r="J45" s="41"/>
    </row>
    <row r="46" spans="1:10" s="12" customFormat="1" ht="11.25" customHeight="1">
      <c r="A46" s="41"/>
      <c r="B46" s="45"/>
      <c r="C46" s="37">
        <v>140</v>
      </c>
      <c r="D46" s="28" t="b">
        <f>F14=SUM(F15:F19)</f>
        <v>1</v>
      </c>
      <c r="E46" s="29" t="s">
        <v>1082</v>
      </c>
      <c r="F46" s="41"/>
      <c r="G46" s="41"/>
      <c r="H46" s="41"/>
      <c r="I46" s="41"/>
      <c r="J46" s="41"/>
    </row>
    <row r="47" spans="1:10" s="12" customFormat="1" ht="11.25" customHeight="1">
      <c r="A47" s="41"/>
      <c r="B47" s="45"/>
      <c r="C47" s="37">
        <v>150</v>
      </c>
      <c r="D47" s="28" t="b">
        <f>G14=SUM(G15:G19)</f>
        <v>1</v>
      </c>
      <c r="E47" s="29" t="s">
        <v>1083</v>
      </c>
      <c r="F47" s="41"/>
      <c r="G47" s="41"/>
      <c r="H47" s="41"/>
      <c r="I47" s="41"/>
      <c r="J47" s="41"/>
    </row>
    <row r="48" spans="1:10" s="12" customFormat="1" ht="11.25" customHeight="1">
      <c r="A48" s="41"/>
      <c r="B48" s="45"/>
      <c r="C48" s="37">
        <v>160</v>
      </c>
      <c r="D48" s="28" t="b">
        <f>H14=SUM(H15:H19)</f>
        <v>1</v>
      </c>
      <c r="E48" s="29" t="s">
        <v>1084</v>
      </c>
      <c r="F48" s="41"/>
      <c r="G48" s="41"/>
      <c r="H48" s="41"/>
      <c r="I48" s="41"/>
      <c r="J48" s="41"/>
    </row>
    <row r="49" spans="1:11" s="12" customFormat="1" ht="11.25" customHeight="1">
      <c r="A49" s="1139"/>
      <c r="B49" s="45"/>
      <c r="C49" s="37">
        <v>170</v>
      </c>
      <c r="D49" s="28" t="b">
        <f>D10=SUM(D11:D14)</f>
        <v>1</v>
      </c>
      <c r="E49" s="29" t="s">
        <v>1085</v>
      </c>
      <c r="F49" s="41"/>
      <c r="G49" s="41"/>
      <c r="H49" s="41"/>
      <c r="I49" s="41"/>
      <c r="J49" s="41"/>
    </row>
    <row r="50" spans="1:11" s="12" customFormat="1" ht="11.25" customHeight="1">
      <c r="A50" s="1139"/>
      <c r="B50" s="45"/>
      <c r="C50" s="37">
        <v>180</v>
      </c>
      <c r="D50" s="28" t="b">
        <f>E10=SUM(E11:E14)</f>
        <v>1</v>
      </c>
      <c r="E50" s="29" t="s">
        <v>1086</v>
      </c>
      <c r="F50" s="41"/>
      <c r="G50" s="41"/>
      <c r="H50" s="41"/>
      <c r="I50" s="41"/>
      <c r="J50" s="41"/>
    </row>
    <row r="51" spans="1:11" s="12" customFormat="1" ht="11.25" customHeight="1">
      <c r="A51" s="1139"/>
      <c r="B51" s="45"/>
      <c r="C51" s="37">
        <v>190</v>
      </c>
      <c r="D51" s="28" t="b">
        <f>F10=SUM(F11:F14)</f>
        <v>1</v>
      </c>
      <c r="E51" s="29" t="s">
        <v>1087</v>
      </c>
      <c r="F51" s="41"/>
      <c r="G51" s="41"/>
      <c r="H51" s="41"/>
      <c r="I51" s="41"/>
      <c r="J51" s="41"/>
    </row>
    <row r="52" spans="1:11" s="12" customFormat="1" ht="11.25" customHeight="1">
      <c r="A52" s="1139"/>
      <c r="B52" s="45"/>
      <c r="C52" s="37">
        <v>200</v>
      </c>
      <c r="D52" s="28" t="b">
        <f>G10=SUM(G11:G14)</f>
        <v>1</v>
      </c>
      <c r="E52" s="29" t="s">
        <v>1088</v>
      </c>
      <c r="F52" s="41"/>
      <c r="G52" s="41"/>
      <c r="H52" s="41"/>
      <c r="I52" s="41"/>
      <c r="J52" s="41"/>
    </row>
    <row r="53" spans="1:11" s="12" customFormat="1" ht="11.25" customHeight="1">
      <c r="A53" s="1139"/>
      <c r="B53" s="45"/>
      <c r="C53" s="37">
        <v>210</v>
      </c>
      <c r="D53" s="28" t="b">
        <f>H10=SUM(H11:H14)</f>
        <v>1</v>
      </c>
      <c r="E53" s="29" t="s">
        <v>1089</v>
      </c>
      <c r="F53" s="41"/>
      <c r="G53" s="41"/>
      <c r="H53" s="41"/>
      <c r="I53" s="41"/>
      <c r="J53" s="41"/>
    </row>
    <row r="54" spans="1:11" s="12" customFormat="1" ht="11.25" customHeight="1">
      <c r="A54" s="1139"/>
      <c r="B54" s="45"/>
      <c r="C54" s="37">
        <v>220</v>
      </c>
      <c r="D54" s="28" t="b">
        <f>H23=H24+H25</f>
        <v>1</v>
      </c>
      <c r="E54" s="29" t="s">
        <v>1090</v>
      </c>
      <c r="F54" s="41"/>
      <c r="G54" s="41"/>
      <c r="H54" s="41"/>
      <c r="I54" s="41"/>
      <c r="J54" s="41"/>
    </row>
    <row r="55" spans="1:11" s="12" customFormat="1" ht="11.25" customHeight="1">
      <c r="A55" s="1139"/>
      <c r="B55" s="45"/>
      <c r="C55" s="37">
        <v>230</v>
      </c>
      <c r="D55" s="28" t="b">
        <f>H20=H21+H22+H23+H26</f>
        <v>1</v>
      </c>
      <c r="E55" s="29" t="s">
        <v>1091</v>
      </c>
      <c r="F55" s="41"/>
      <c r="G55" s="41"/>
      <c r="H55" s="41"/>
      <c r="I55" s="41"/>
      <c r="J55" s="41"/>
    </row>
    <row r="56" spans="1:11" s="12" customFormat="1" ht="11.25" customHeight="1">
      <c r="A56" s="1135" t="s">
        <v>2969</v>
      </c>
      <c r="B56" s="1123"/>
      <c r="C56" s="1124">
        <v>240</v>
      </c>
      <c r="D56" s="1120" t="b">
        <f>H30=H5+H10+H20+H27+H28</f>
        <v>1</v>
      </c>
      <c r="E56" s="1125" t="s">
        <v>2960</v>
      </c>
      <c r="F56" s="1122"/>
      <c r="G56" s="1122"/>
      <c r="H56" s="1122"/>
      <c r="I56" s="1122"/>
      <c r="J56" s="1122"/>
      <c r="K56" s="1122"/>
    </row>
    <row r="57" spans="1:11" ht="11.25" customHeight="1">
      <c r="A57" s="1139"/>
      <c r="B57" s="80"/>
      <c r="C57" s="37">
        <v>250</v>
      </c>
      <c r="D57" s="28" t="b">
        <f>H30='1.2'!E6</f>
        <v>1</v>
      </c>
      <c r="E57" s="29" t="s">
        <v>1092</v>
      </c>
      <c r="F57" s="2"/>
      <c r="G57" s="2"/>
      <c r="H57" s="2"/>
      <c r="I57" s="2"/>
      <c r="J57" s="2"/>
    </row>
    <row r="58" spans="1:11" s="12" customFormat="1" ht="11.25" customHeight="1">
      <c r="A58" s="1139"/>
      <c r="B58" s="45"/>
      <c r="C58" s="37">
        <v>260</v>
      </c>
      <c r="D58" s="28" t="b">
        <f>H5=SUM('22.b'!D5:F5)</f>
        <v>1</v>
      </c>
      <c r="E58" s="29" t="s">
        <v>1093</v>
      </c>
    </row>
    <row r="59" spans="1:11" s="12" customFormat="1" ht="11.25" customHeight="1">
      <c r="A59" s="1139"/>
      <c r="B59" s="45"/>
      <c r="C59" s="37">
        <v>270</v>
      </c>
      <c r="D59" s="28" t="b">
        <f>H6=SUM('22.b'!D6:F6)</f>
        <v>1</v>
      </c>
      <c r="E59" s="29" t="s">
        <v>1094</v>
      </c>
    </row>
    <row r="60" spans="1:11" s="12" customFormat="1" ht="11.25" customHeight="1">
      <c r="A60" s="1139"/>
      <c r="B60" s="45"/>
      <c r="C60" s="37">
        <v>280</v>
      </c>
      <c r="D60" s="28" t="b">
        <f>H7=SUM('22.b'!D7:F7)</f>
        <v>1</v>
      </c>
      <c r="E60" s="29" t="s">
        <v>1095</v>
      </c>
    </row>
    <row r="61" spans="1:11" s="12" customFormat="1" ht="11.25" customHeight="1">
      <c r="A61" s="1139"/>
      <c r="B61" s="45"/>
      <c r="C61" s="37">
        <v>290</v>
      </c>
      <c r="D61" s="28" t="b">
        <f>H8=SUM('22.b'!D8:F8)</f>
        <v>1</v>
      </c>
      <c r="E61" s="29" t="s">
        <v>1096</v>
      </c>
    </row>
    <row r="62" spans="1:11" s="12" customFormat="1" ht="11.25" customHeight="1">
      <c r="A62" s="1139"/>
      <c r="B62" s="45"/>
      <c r="C62" s="37">
        <v>300</v>
      </c>
      <c r="D62" s="28" t="b">
        <f>H9=SUM('22.b'!D9:F9)</f>
        <v>1</v>
      </c>
      <c r="E62" s="29" t="s">
        <v>1097</v>
      </c>
    </row>
    <row r="63" spans="1:11" s="12" customFormat="1" ht="11.25" customHeight="1">
      <c r="A63" s="1139"/>
      <c r="B63" s="45"/>
      <c r="C63" s="37">
        <v>310</v>
      </c>
      <c r="D63" s="28" t="b">
        <f>H10=SUM('22.b'!D10:F10)</f>
        <v>1</v>
      </c>
      <c r="E63" s="29" t="s">
        <v>1098</v>
      </c>
    </row>
    <row r="64" spans="1:11" s="12" customFormat="1" ht="11.25" customHeight="1">
      <c r="A64" s="1139"/>
      <c r="B64" s="45"/>
      <c r="C64" s="37">
        <v>320</v>
      </c>
      <c r="D64" s="28" t="b">
        <f>H11=SUM('22.b'!D11:F11)</f>
        <v>1</v>
      </c>
      <c r="E64" s="29" t="s">
        <v>1099</v>
      </c>
    </row>
    <row r="65" spans="1:5" s="12" customFormat="1" ht="11.25" customHeight="1">
      <c r="A65" s="1139"/>
      <c r="B65" s="45"/>
      <c r="C65" s="37">
        <v>330</v>
      </c>
      <c r="D65" s="28" t="b">
        <f>H12=SUM('22.b'!D12:F12)</f>
        <v>1</v>
      </c>
      <c r="E65" s="29" t="s">
        <v>1100</v>
      </c>
    </row>
    <row r="66" spans="1:5" s="12" customFormat="1" ht="11.25" customHeight="1">
      <c r="A66" s="1139"/>
      <c r="B66" s="45"/>
      <c r="C66" s="37">
        <v>340</v>
      </c>
      <c r="D66" s="28" t="b">
        <f>H13=SUM('22.b'!D13:F13)</f>
        <v>1</v>
      </c>
      <c r="E66" s="29" t="s">
        <v>2574</v>
      </c>
    </row>
    <row r="67" spans="1:5" s="12" customFormat="1" ht="11.25" customHeight="1">
      <c r="A67" s="1139"/>
      <c r="B67" s="45"/>
      <c r="C67" s="37">
        <v>350</v>
      </c>
      <c r="D67" s="28" t="b">
        <f>H14=SUM('22.b'!D14:F14)</f>
        <v>1</v>
      </c>
      <c r="E67" s="29" t="s">
        <v>2575</v>
      </c>
    </row>
    <row r="68" spans="1:5" s="12" customFormat="1" ht="11.25" customHeight="1">
      <c r="A68" s="1139"/>
      <c r="B68" s="45"/>
      <c r="C68" s="37">
        <v>360</v>
      </c>
      <c r="D68" s="28" t="b">
        <f>H15=SUM('22.b'!D15:F15)</f>
        <v>1</v>
      </c>
      <c r="E68" s="29" t="s">
        <v>2576</v>
      </c>
    </row>
    <row r="69" spans="1:5" s="12" customFormat="1" ht="11.25" customHeight="1">
      <c r="A69" s="1139"/>
      <c r="B69" s="45"/>
      <c r="C69" s="37">
        <v>370</v>
      </c>
      <c r="D69" s="28" t="b">
        <f>H16=SUM('22.b'!D16:F16)</f>
        <v>1</v>
      </c>
      <c r="E69" s="29" t="s">
        <v>2577</v>
      </c>
    </row>
    <row r="70" spans="1:5" s="12" customFormat="1" ht="11.25" customHeight="1">
      <c r="A70" s="1139"/>
      <c r="B70" s="45"/>
      <c r="C70" s="37">
        <v>380</v>
      </c>
      <c r="D70" s="28" t="b">
        <f>H17=SUM('22.b'!D17:F17)</f>
        <v>1</v>
      </c>
      <c r="E70" s="29" t="s">
        <v>2578</v>
      </c>
    </row>
    <row r="71" spans="1:5" s="12" customFormat="1" ht="11.25" customHeight="1">
      <c r="A71" s="1139"/>
      <c r="B71" s="45"/>
      <c r="C71" s="37">
        <v>390</v>
      </c>
      <c r="D71" s="28" t="b">
        <f>H18=SUM('22.b'!D18:F18)</f>
        <v>1</v>
      </c>
      <c r="E71" s="29" t="s">
        <v>2579</v>
      </c>
    </row>
    <row r="72" spans="1:5" s="12" customFormat="1" ht="11.25" customHeight="1">
      <c r="A72" s="1139"/>
      <c r="B72" s="45"/>
      <c r="C72" s="37">
        <v>400</v>
      </c>
      <c r="D72" s="28" t="b">
        <f>H19=SUM('22.b'!D19:F19)</f>
        <v>1</v>
      </c>
      <c r="E72" s="29" t="s">
        <v>2580</v>
      </c>
    </row>
    <row r="73" spans="1:5" s="12" customFormat="1" ht="11.25" customHeight="1">
      <c r="A73" s="1139"/>
      <c r="B73" s="45"/>
      <c r="C73" s="37">
        <v>410</v>
      </c>
      <c r="D73" s="28" t="b">
        <f>H20=SUM('22.b'!D20:F20)</f>
        <v>1</v>
      </c>
      <c r="E73" s="29" t="s">
        <v>2581</v>
      </c>
    </row>
    <row r="74" spans="1:5" s="12" customFormat="1" ht="11.25" customHeight="1">
      <c r="A74" s="1139"/>
      <c r="B74" s="45"/>
      <c r="C74" s="37">
        <v>420</v>
      </c>
      <c r="D74" s="28" t="b">
        <f>H21=SUM('22.b'!D21:F21)</f>
        <v>1</v>
      </c>
      <c r="E74" s="29" t="s">
        <v>2582</v>
      </c>
    </row>
    <row r="75" spans="1:5" s="12" customFormat="1" ht="11.25" customHeight="1">
      <c r="A75" s="1139"/>
      <c r="B75" s="45"/>
      <c r="C75" s="37">
        <v>430</v>
      </c>
      <c r="D75" s="28" t="b">
        <f>H22=SUM('22.b'!D22:F22)</f>
        <v>1</v>
      </c>
      <c r="E75" s="29" t="s">
        <v>2583</v>
      </c>
    </row>
    <row r="76" spans="1:5" s="12" customFormat="1" ht="11.25" customHeight="1">
      <c r="A76" s="1139"/>
      <c r="B76" s="45"/>
      <c r="C76" s="37">
        <v>440</v>
      </c>
      <c r="D76" s="28" t="b">
        <f>H23=SUM('22.b'!D23:F23)</f>
        <v>1</v>
      </c>
      <c r="E76" s="29" t="s">
        <v>1847</v>
      </c>
    </row>
    <row r="77" spans="1:5" s="12" customFormat="1" ht="11.25" customHeight="1">
      <c r="A77" s="1139"/>
      <c r="B77" s="45"/>
      <c r="C77" s="37">
        <v>450</v>
      </c>
      <c r="D77" s="28" t="b">
        <f>H24=SUM('22.b'!D24:F24)</f>
        <v>1</v>
      </c>
      <c r="E77" s="29" t="s">
        <v>1848</v>
      </c>
    </row>
    <row r="78" spans="1:5" s="12" customFormat="1" ht="11.25" customHeight="1">
      <c r="A78" s="1139"/>
      <c r="B78" s="45"/>
      <c r="C78" s="37">
        <v>460</v>
      </c>
      <c r="D78" s="28" t="b">
        <f>H25=SUM('22.b'!D25:F25)</f>
        <v>1</v>
      </c>
      <c r="E78" s="29" t="s">
        <v>872</v>
      </c>
    </row>
    <row r="79" spans="1:5" s="12" customFormat="1" ht="11.25" customHeight="1">
      <c r="A79" s="1139"/>
      <c r="B79" s="45"/>
      <c r="C79" s="37">
        <v>470</v>
      </c>
      <c r="D79" s="28" t="b">
        <f>H26=SUM('22.b'!D26:F26)</f>
        <v>1</v>
      </c>
      <c r="E79" s="29" t="s">
        <v>873</v>
      </c>
    </row>
    <row r="80" spans="1:5" s="12" customFormat="1" ht="11.25" customHeight="1">
      <c r="A80" s="1139"/>
      <c r="B80" s="45"/>
      <c r="C80" s="37">
        <v>480</v>
      </c>
      <c r="D80" s="28" t="b">
        <f>H27=SUM('22.b'!D27:F27)</f>
        <v>1</v>
      </c>
      <c r="E80" s="29" t="s">
        <v>874</v>
      </c>
    </row>
    <row r="81" spans="1:10" s="12" customFormat="1" ht="11.25" customHeight="1">
      <c r="A81" s="1139"/>
      <c r="B81" s="45"/>
      <c r="C81" s="37">
        <v>490</v>
      </c>
      <c r="D81" s="28" t="b">
        <f>H28=SUM('22.b'!D28:F28)</f>
        <v>1</v>
      </c>
      <c r="E81" s="29" t="s">
        <v>875</v>
      </c>
    </row>
    <row r="82" spans="1:10" s="12" customFormat="1" ht="11.25" customHeight="1">
      <c r="A82" s="1135" t="s">
        <v>2969</v>
      </c>
      <c r="B82" s="1123"/>
      <c r="C82" s="1124">
        <v>500</v>
      </c>
      <c r="D82" s="1120" t="b">
        <f>H30=SUM('22.b'!D29:F29)</f>
        <v>1</v>
      </c>
      <c r="E82" s="1125" t="s">
        <v>2961</v>
      </c>
      <c r="F82" s="1122"/>
      <c r="G82" s="1122"/>
      <c r="H82" s="1122"/>
      <c r="I82" s="1122"/>
      <c r="J82" s="1122"/>
    </row>
    <row r="83" spans="1:10" ht="13.5">
      <c r="A83" s="1135" t="s">
        <v>2969</v>
      </c>
      <c r="B83" s="1130"/>
      <c r="C83" s="1124">
        <v>510</v>
      </c>
      <c r="D83" s="1120" t="b">
        <f>H29=0</f>
        <v>1</v>
      </c>
      <c r="E83" s="1125" t="s">
        <v>2959</v>
      </c>
      <c r="F83" s="1126"/>
      <c r="G83" s="1126"/>
      <c r="H83" s="1126"/>
      <c r="I83" s="1126"/>
      <c r="J83" s="1126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" right="0" top="0" bottom="0" header="0" footer="0"/>
  <pageSetup paperSize="8" orientation="landscape" r:id="rId4"/>
  <headerFooter alignWithMargins="0">
    <oddHeader xml:space="preserve">&amp;C22.A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="85" zoomScaleNormal="115" zoomScaleSheetLayoutView="100" workbookViewId="0"/>
  </sheetViews>
  <sheetFormatPr defaultRowHeight="12.75"/>
  <cols>
    <col min="1" max="1" width="52.7109375" bestFit="1" customWidth="1"/>
    <col min="2" max="2" width="8.28515625" customWidth="1"/>
    <col min="3" max="3" width="17.140625" customWidth="1"/>
    <col min="4" max="4" width="10.28515625" customWidth="1"/>
    <col min="5" max="5" width="9.85546875" customWidth="1"/>
    <col min="6" max="6" width="9.5703125" customWidth="1"/>
    <col min="15" max="15" width="22.42578125" customWidth="1"/>
  </cols>
  <sheetData>
    <row r="1" spans="1:13" s="5" customFormat="1" ht="16.5" thickBot="1">
      <c r="A1" s="477" t="s">
        <v>1670</v>
      </c>
      <c r="B1" s="52"/>
      <c r="C1" s="279"/>
      <c r="D1" s="279"/>
      <c r="E1" s="279"/>
      <c r="F1" s="279"/>
    </row>
    <row r="2" spans="1:13" ht="46.5" thickBot="1">
      <c r="A2" s="338" t="s">
        <v>1669</v>
      </c>
      <c r="B2" s="565"/>
      <c r="C2" s="271" t="s">
        <v>2173</v>
      </c>
      <c r="D2" s="271" t="s">
        <v>2205</v>
      </c>
      <c r="E2" s="271" t="s">
        <v>2206</v>
      </c>
      <c r="F2" s="271" t="s">
        <v>2263</v>
      </c>
    </row>
    <row r="3" spans="1:13" ht="16.5" thickBot="1">
      <c r="A3" s="338"/>
      <c r="B3" s="565"/>
      <c r="C3" s="271"/>
      <c r="D3" s="270"/>
      <c r="E3" s="270"/>
      <c r="F3" s="270"/>
    </row>
    <row r="4" spans="1:13" ht="15.75" thickBot="1">
      <c r="A4" s="566"/>
      <c r="B4" s="246" t="s">
        <v>1135</v>
      </c>
      <c r="C4" s="247" t="s">
        <v>526</v>
      </c>
      <c r="D4" s="293" t="s">
        <v>1415</v>
      </c>
      <c r="E4" s="293" t="s">
        <v>1118</v>
      </c>
      <c r="F4" s="293" t="s">
        <v>1126</v>
      </c>
    </row>
    <row r="5" spans="1:13" ht="15.75" thickBot="1">
      <c r="A5" s="557" t="s">
        <v>1472</v>
      </c>
      <c r="B5" s="342">
        <v>7100</v>
      </c>
      <c r="C5" s="65" t="s">
        <v>740</v>
      </c>
      <c r="D5" s="941">
        <f>SUM(D6:D9)</f>
        <v>112</v>
      </c>
      <c r="E5" s="941">
        <f>SUM(E6:E9)</f>
        <v>64</v>
      </c>
      <c r="F5" s="941">
        <f>SUM(F6:F9)</f>
        <v>44</v>
      </c>
    </row>
    <row r="6" spans="1:13" ht="15.75" thickBot="1">
      <c r="A6" s="255" t="s">
        <v>2174</v>
      </c>
      <c r="B6" s="343">
        <v>7110</v>
      </c>
      <c r="C6" s="65" t="s">
        <v>2175</v>
      </c>
      <c r="D6" s="943">
        <v>28</v>
      </c>
      <c r="E6" s="943">
        <v>16</v>
      </c>
      <c r="F6" s="943">
        <v>11</v>
      </c>
    </row>
    <row r="7" spans="1:13" ht="15.75" thickBot="1">
      <c r="A7" s="255" t="s">
        <v>2176</v>
      </c>
      <c r="B7" s="343">
        <v>7120</v>
      </c>
      <c r="C7" s="65" t="s">
        <v>2175</v>
      </c>
      <c r="D7" s="943">
        <v>28</v>
      </c>
      <c r="E7" s="943">
        <v>16</v>
      </c>
      <c r="F7" s="943">
        <v>11</v>
      </c>
    </row>
    <row r="8" spans="1:13" ht="15.75" thickBot="1">
      <c r="A8" s="255" t="s">
        <v>2177</v>
      </c>
      <c r="B8" s="343">
        <v>7130</v>
      </c>
      <c r="C8" s="65" t="s">
        <v>2175</v>
      </c>
      <c r="D8" s="943">
        <v>28</v>
      </c>
      <c r="E8" s="943">
        <v>16</v>
      </c>
      <c r="F8" s="943">
        <v>11</v>
      </c>
    </row>
    <row r="9" spans="1:13" ht="15.75" thickBot="1">
      <c r="A9" s="255" t="s">
        <v>2178</v>
      </c>
      <c r="B9" s="343">
        <v>7140</v>
      </c>
      <c r="C9" s="65" t="s">
        <v>2175</v>
      </c>
      <c r="D9" s="943">
        <v>28</v>
      </c>
      <c r="E9" s="943">
        <v>16</v>
      </c>
      <c r="F9" s="943">
        <v>11</v>
      </c>
    </row>
    <row r="10" spans="1:13" ht="15.75" thickBot="1">
      <c r="A10" s="416" t="s">
        <v>2250</v>
      </c>
      <c r="B10" s="343">
        <v>7150</v>
      </c>
      <c r="C10" s="417" t="s">
        <v>740</v>
      </c>
      <c r="D10" s="941">
        <f>SUM(D11:D14)</f>
        <v>109</v>
      </c>
      <c r="E10" s="941">
        <f>SUM(E11:E14)</f>
        <v>63</v>
      </c>
      <c r="F10" s="941">
        <f>SUM(F11:F14)</f>
        <v>48</v>
      </c>
    </row>
    <row r="11" spans="1:13" ht="15.75" thickBot="1">
      <c r="A11" s="255" t="s">
        <v>2174</v>
      </c>
      <c r="B11" s="343">
        <v>7160</v>
      </c>
      <c r="C11" s="65" t="s">
        <v>2175</v>
      </c>
      <c r="D11" s="943">
        <v>28</v>
      </c>
      <c r="E11" s="943">
        <v>16</v>
      </c>
      <c r="F11" s="943">
        <v>11</v>
      </c>
      <c r="M11" s="2"/>
    </row>
    <row r="12" spans="1:13" ht="15.75" thickBot="1">
      <c r="A12" s="255" t="s">
        <v>2176</v>
      </c>
      <c r="B12" s="343">
        <v>7170</v>
      </c>
      <c r="C12" s="65" t="s">
        <v>2175</v>
      </c>
      <c r="D12" s="943">
        <v>28</v>
      </c>
      <c r="E12" s="943">
        <v>16</v>
      </c>
      <c r="F12" s="943">
        <v>11</v>
      </c>
    </row>
    <row r="13" spans="1:13" ht="15.75" thickBot="1">
      <c r="A13" s="255" t="s">
        <v>2177</v>
      </c>
      <c r="B13" s="343">
        <v>7180</v>
      </c>
      <c r="C13" s="65" t="s">
        <v>2175</v>
      </c>
      <c r="D13" s="943">
        <v>28</v>
      </c>
      <c r="E13" s="943">
        <v>16</v>
      </c>
      <c r="F13" s="943">
        <v>11</v>
      </c>
    </row>
    <row r="14" spans="1:13" ht="15.75" thickBot="1">
      <c r="A14" s="255" t="s">
        <v>2178</v>
      </c>
      <c r="B14" s="343">
        <v>7190</v>
      </c>
      <c r="C14" s="65" t="s">
        <v>2175</v>
      </c>
      <c r="D14" s="941">
        <f>SUM(D15:D19)</f>
        <v>25</v>
      </c>
      <c r="E14" s="941">
        <f>SUM(E15:E19)</f>
        <v>15</v>
      </c>
      <c r="F14" s="941">
        <f>SUM(F15:F19)</f>
        <v>15</v>
      </c>
    </row>
    <row r="15" spans="1:13" ht="15.75" thickBot="1">
      <c r="A15" s="558" t="s">
        <v>2672</v>
      </c>
      <c r="B15" s="343">
        <v>7200</v>
      </c>
      <c r="C15" s="417" t="s">
        <v>2673</v>
      </c>
      <c r="D15" s="943">
        <v>5</v>
      </c>
      <c r="E15" s="943">
        <v>3</v>
      </c>
      <c r="F15" s="943">
        <v>3</v>
      </c>
    </row>
    <row r="16" spans="1:13" ht="15.75" thickBot="1">
      <c r="A16" s="558" t="s">
        <v>2674</v>
      </c>
      <c r="B16" s="343">
        <v>7210</v>
      </c>
      <c r="C16" s="417" t="s">
        <v>2675</v>
      </c>
      <c r="D16" s="943">
        <v>5</v>
      </c>
      <c r="E16" s="943">
        <v>3</v>
      </c>
      <c r="F16" s="943">
        <v>3</v>
      </c>
    </row>
    <row r="17" spans="1:14" ht="15.75" thickBot="1">
      <c r="A17" s="558" t="s">
        <v>2054</v>
      </c>
      <c r="B17" s="343">
        <v>7220</v>
      </c>
      <c r="C17" s="417" t="s">
        <v>2055</v>
      </c>
      <c r="D17" s="943">
        <v>5</v>
      </c>
      <c r="E17" s="943">
        <v>3</v>
      </c>
      <c r="F17" s="943">
        <v>3</v>
      </c>
    </row>
    <row r="18" spans="1:14" ht="15.75" thickBot="1">
      <c r="A18" s="558" t="s">
        <v>2178</v>
      </c>
      <c r="B18" s="343">
        <v>7230</v>
      </c>
      <c r="C18" s="417" t="s">
        <v>740</v>
      </c>
      <c r="D18" s="943">
        <v>5</v>
      </c>
      <c r="E18" s="943">
        <v>3</v>
      </c>
      <c r="F18" s="943">
        <v>3</v>
      </c>
    </row>
    <row r="19" spans="1:14" ht="15.75" thickBot="1">
      <c r="A19" s="558" t="s">
        <v>1666</v>
      </c>
      <c r="B19" s="343">
        <v>7240</v>
      </c>
      <c r="C19" s="417" t="s">
        <v>1667</v>
      </c>
      <c r="D19" s="943">
        <v>5</v>
      </c>
      <c r="E19" s="943">
        <v>3</v>
      </c>
      <c r="F19" s="943">
        <v>3</v>
      </c>
    </row>
    <row r="20" spans="1:14" ht="15.75" thickBot="1">
      <c r="A20" s="416" t="s">
        <v>2251</v>
      </c>
      <c r="B20" s="343">
        <v>7250</v>
      </c>
      <c r="C20" s="417" t="s">
        <v>740</v>
      </c>
      <c r="D20" s="941">
        <f>SUM(D21:D23,D26)</f>
        <v>212</v>
      </c>
      <c r="E20" s="941">
        <f>SUM(E21:E23,E26)</f>
        <v>124</v>
      </c>
      <c r="F20" s="941">
        <f>SUM(F21:F23,F26)</f>
        <v>84</v>
      </c>
    </row>
    <row r="21" spans="1:14" ht="15.75" thickBot="1">
      <c r="A21" s="255" t="s">
        <v>2253</v>
      </c>
      <c r="B21" s="343">
        <v>7260</v>
      </c>
      <c r="C21" s="567" t="s">
        <v>740</v>
      </c>
      <c r="D21" s="943">
        <v>28</v>
      </c>
      <c r="E21" s="943">
        <v>16</v>
      </c>
      <c r="F21" s="943">
        <v>11</v>
      </c>
    </row>
    <row r="22" spans="1:14" ht="30.75" thickBot="1">
      <c r="A22" s="559" t="s">
        <v>2254</v>
      </c>
      <c r="B22" s="343">
        <v>7270</v>
      </c>
      <c r="C22" s="568" t="s">
        <v>2255</v>
      </c>
      <c r="D22" s="943">
        <v>28</v>
      </c>
      <c r="E22" s="943">
        <v>16</v>
      </c>
      <c r="F22" s="943">
        <v>11</v>
      </c>
    </row>
    <row r="23" spans="1:14" ht="15.75" thickBot="1">
      <c r="A23" s="560" t="s">
        <v>2256</v>
      </c>
      <c r="B23" s="343">
        <v>7280</v>
      </c>
      <c r="C23" s="569" t="s">
        <v>740</v>
      </c>
      <c r="D23" s="941">
        <f>SUM(D24:D25)</f>
        <v>128</v>
      </c>
      <c r="E23" s="941">
        <f>SUM(E24:E25)</f>
        <v>76</v>
      </c>
      <c r="F23" s="941">
        <f>SUM(F24:F25)</f>
        <v>51</v>
      </c>
    </row>
    <row r="24" spans="1:14" ht="30.75" thickBot="1">
      <c r="A24" s="570" t="s">
        <v>2257</v>
      </c>
      <c r="B24" s="343">
        <v>7290</v>
      </c>
      <c r="C24" s="569" t="s">
        <v>2607</v>
      </c>
      <c r="D24" s="943">
        <v>28</v>
      </c>
      <c r="E24" s="943">
        <v>16</v>
      </c>
      <c r="F24" s="943">
        <v>11</v>
      </c>
    </row>
    <row r="25" spans="1:14" ht="30.75" thickBot="1">
      <c r="A25" s="571" t="s">
        <v>2259</v>
      </c>
      <c r="B25" s="343">
        <v>7300</v>
      </c>
      <c r="C25" s="568" t="s">
        <v>2260</v>
      </c>
      <c r="D25" s="943">
        <v>100</v>
      </c>
      <c r="E25" s="943">
        <v>60</v>
      </c>
      <c r="F25" s="943">
        <v>40</v>
      </c>
    </row>
    <row r="26" spans="1:14" ht="15.75" thickBot="1">
      <c r="A26" s="563" t="s">
        <v>1591</v>
      </c>
      <c r="B26" s="343">
        <v>7310</v>
      </c>
      <c r="C26" s="567" t="s">
        <v>740</v>
      </c>
      <c r="D26" s="943">
        <v>28</v>
      </c>
      <c r="E26" s="943">
        <v>16</v>
      </c>
      <c r="F26" s="943">
        <v>11</v>
      </c>
    </row>
    <row r="27" spans="1:14" ht="15.75" thickBot="1">
      <c r="A27" s="543" t="s">
        <v>2325</v>
      </c>
      <c r="B27" s="343">
        <v>7320</v>
      </c>
      <c r="C27" s="65"/>
      <c r="D27" s="943">
        <v>28</v>
      </c>
      <c r="E27" s="943">
        <v>16</v>
      </c>
      <c r="F27" s="943">
        <v>11</v>
      </c>
    </row>
    <row r="28" spans="1:14" ht="15.75" thickBot="1">
      <c r="A28" s="543" t="s">
        <v>1668</v>
      </c>
      <c r="B28" s="343">
        <v>7330</v>
      </c>
      <c r="C28" s="65"/>
      <c r="D28" s="943">
        <v>39</v>
      </c>
      <c r="E28" s="943">
        <v>33</v>
      </c>
      <c r="F28" s="943">
        <v>13</v>
      </c>
    </row>
    <row r="29" spans="1:14" ht="15.75" thickBot="1">
      <c r="A29" s="285" t="s">
        <v>1059</v>
      </c>
      <c r="B29" s="246">
        <v>7999</v>
      </c>
      <c r="C29" s="564"/>
      <c r="D29" s="941">
        <f>SUM(D5,D10,D20,D27:D28)</f>
        <v>500</v>
      </c>
      <c r="E29" s="941">
        <f>SUM(E5,E10,E20,E27:E28)</f>
        <v>300</v>
      </c>
      <c r="F29" s="941">
        <f>SUM(F5,F10,F20,F27:F28)</f>
        <v>200</v>
      </c>
      <c r="G29" s="829">
        <f>'1.2'!F6</f>
        <v>500</v>
      </c>
      <c r="H29" s="829">
        <f>'1.2'!G6</f>
        <v>300</v>
      </c>
      <c r="I29" s="829">
        <f>'1.2'!H6</f>
        <v>200</v>
      </c>
    </row>
    <row r="30" spans="1:14" ht="15">
      <c r="A30" s="279"/>
      <c r="B30" s="279"/>
      <c r="C30" s="279"/>
      <c r="D30" s="279"/>
      <c r="E30" s="279"/>
      <c r="F30" s="279"/>
    </row>
    <row r="32" spans="1:14" s="5" customFormat="1" ht="13.5">
      <c r="A32" s="19"/>
      <c r="B32" s="37"/>
      <c r="C32" s="37">
        <v>510</v>
      </c>
      <c r="D32" s="28" t="b">
        <f>D5=SUM(D6:D9)</f>
        <v>1</v>
      </c>
      <c r="E32" s="29" t="s">
        <v>876</v>
      </c>
      <c r="F32" s="19"/>
      <c r="G32" s="19"/>
      <c r="H32" s="19"/>
      <c r="I32" s="19"/>
      <c r="J32" s="19"/>
      <c r="K32" s="19"/>
      <c r="L32" s="19"/>
      <c r="M32" s="19"/>
      <c r="N32" s="19"/>
    </row>
    <row r="33" spans="1:14" s="5" customFormat="1" ht="13.5">
      <c r="A33" s="19"/>
      <c r="B33" s="37"/>
      <c r="C33" s="37">
        <v>520</v>
      </c>
      <c r="D33" s="28" t="b">
        <f>E5=SUM(E6:E9)</f>
        <v>1</v>
      </c>
      <c r="E33" s="29" t="s">
        <v>2921</v>
      </c>
      <c r="F33" s="19"/>
      <c r="G33" s="19"/>
      <c r="H33" s="19"/>
      <c r="I33" s="19"/>
      <c r="J33" s="19"/>
      <c r="K33" s="19"/>
      <c r="L33" s="19"/>
      <c r="M33" s="19"/>
      <c r="N33" s="19"/>
    </row>
    <row r="34" spans="1:14" s="5" customFormat="1" ht="13.5">
      <c r="A34" s="19"/>
      <c r="B34" s="37"/>
      <c r="C34" s="37">
        <v>530</v>
      </c>
      <c r="D34" s="28" t="b">
        <f>F5=SUM(F6:F9)</f>
        <v>1</v>
      </c>
      <c r="E34" s="29" t="s">
        <v>2922</v>
      </c>
      <c r="F34" s="19"/>
      <c r="G34" s="19"/>
      <c r="H34" s="19"/>
      <c r="I34" s="19"/>
      <c r="J34" s="19"/>
      <c r="K34" s="19"/>
      <c r="L34" s="19"/>
      <c r="M34" s="19"/>
      <c r="N34" s="19"/>
    </row>
    <row r="35" spans="1:14" s="5" customFormat="1" ht="13.5">
      <c r="A35" s="19"/>
      <c r="B35" s="37"/>
      <c r="C35" s="37">
        <v>540</v>
      </c>
      <c r="D35" s="28" t="b">
        <f>D10=SUM(D11:D14)</f>
        <v>1</v>
      </c>
      <c r="E35" s="29" t="s">
        <v>877</v>
      </c>
      <c r="F35" s="19"/>
      <c r="G35" s="19"/>
      <c r="H35" s="19"/>
      <c r="I35" s="19"/>
      <c r="J35" s="19"/>
      <c r="K35" s="19"/>
      <c r="L35" s="19"/>
      <c r="M35" s="19"/>
      <c r="N35" s="19"/>
    </row>
    <row r="36" spans="1:14" s="5" customFormat="1" ht="13.5">
      <c r="A36" s="19"/>
      <c r="B36" s="37"/>
      <c r="C36" s="37">
        <v>550</v>
      </c>
      <c r="D36" s="28" t="b">
        <f>E10=SUM(E11:E14)</f>
        <v>1</v>
      </c>
      <c r="E36" s="29" t="s">
        <v>878</v>
      </c>
      <c r="F36" s="19"/>
      <c r="G36" s="19"/>
      <c r="H36" s="19"/>
      <c r="I36" s="19"/>
      <c r="J36" s="19"/>
      <c r="K36" s="19"/>
      <c r="L36" s="19"/>
      <c r="M36" s="19"/>
      <c r="N36" s="19"/>
    </row>
    <row r="37" spans="1:14" s="5" customFormat="1" ht="13.5">
      <c r="A37" s="19"/>
      <c r="B37" s="37"/>
      <c r="C37" s="37">
        <v>560</v>
      </c>
      <c r="D37" s="28" t="b">
        <f>F10=SUM(F11:F14)</f>
        <v>1</v>
      </c>
      <c r="E37" s="29" t="s">
        <v>2923</v>
      </c>
      <c r="F37" s="19"/>
      <c r="G37" s="19"/>
      <c r="H37" s="19"/>
      <c r="I37" s="19"/>
      <c r="J37" s="19"/>
      <c r="K37" s="19"/>
      <c r="L37" s="19"/>
      <c r="M37" s="19"/>
      <c r="N37" s="19"/>
    </row>
    <row r="38" spans="1:14" s="12" customFormat="1" ht="13.5">
      <c r="A38" s="41"/>
      <c r="B38" s="1108"/>
      <c r="C38" s="37">
        <v>570</v>
      </c>
      <c r="D38" s="28" t="b">
        <f>D14=SUM(D15:D19)</f>
        <v>1</v>
      </c>
      <c r="E38" s="29" t="s">
        <v>879</v>
      </c>
      <c r="F38" s="41"/>
      <c r="G38" s="41"/>
      <c r="H38" s="41"/>
      <c r="I38" s="41"/>
      <c r="J38" s="41"/>
      <c r="K38" s="41"/>
      <c r="L38" s="41"/>
      <c r="M38" s="41"/>
      <c r="N38" s="41"/>
    </row>
    <row r="39" spans="1:14" s="12" customFormat="1" ht="13.5">
      <c r="A39" s="41"/>
      <c r="B39" s="1108"/>
      <c r="C39" s="37">
        <v>580</v>
      </c>
      <c r="D39" s="28" t="b">
        <f>E14=SUM(E15:E19)</f>
        <v>1</v>
      </c>
      <c r="E39" s="29" t="s">
        <v>880</v>
      </c>
      <c r="F39" s="41"/>
      <c r="G39" s="41"/>
      <c r="H39" s="41"/>
      <c r="I39" s="41"/>
      <c r="J39" s="41"/>
      <c r="K39" s="41"/>
      <c r="L39" s="41"/>
      <c r="M39" s="41"/>
      <c r="N39" s="41"/>
    </row>
    <row r="40" spans="1:14" s="12" customFormat="1" ht="13.5">
      <c r="A40" s="41"/>
      <c r="B40" s="1108"/>
      <c r="C40" s="37">
        <v>590</v>
      </c>
      <c r="D40" s="28" t="b">
        <f>F14=SUM(F15:F19)</f>
        <v>1</v>
      </c>
      <c r="E40" s="29" t="s">
        <v>881</v>
      </c>
      <c r="F40" s="41"/>
      <c r="G40" s="41"/>
      <c r="H40" s="41"/>
      <c r="I40" s="41"/>
      <c r="J40" s="41"/>
      <c r="K40" s="41"/>
      <c r="L40" s="41"/>
      <c r="M40" s="41"/>
      <c r="N40" s="41"/>
    </row>
    <row r="41" spans="1:14" s="12" customFormat="1" ht="13.5">
      <c r="A41" s="41"/>
      <c r="B41" s="1108"/>
      <c r="C41" s="37">
        <v>600</v>
      </c>
      <c r="D41" s="28" t="b">
        <f>D20=D21+D22+D23+D26</f>
        <v>1</v>
      </c>
      <c r="E41" s="29" t="s">
        <v>882</v>
      </c>
      <c r="F41" s="41"/>
      <c r="G41" s="41"/>
      <c r="H41" s="41"/>
      <c r="I41" s="41"/>
      <c r="J41" s="41"/>
      <c r="K41" s="41"/>
      <c r="L41" s="41"/>
      <c r="M41" s="41"/>
      <c r="N41" s="41"/>
    </row>
    <row r="42" spans="1:14" s="12" customFormat="1" ht="13.5">
      <c r="A42" s="41"/>
      <c r="B42" s="1108"/>
      <c r="C42" s="37">
        <v>610</v>
      </c>
      <c r="D42" s="28" t="b">
        <f>E20=E21+E22+E23+E26</f>
        <v>1</v>
      </c>
      <c r="E42" s="29" t="s">
        <v>883</v>
      </c>
      <c r="F42" s="41"/>
      <c r="G42" s="41"/>
      <c r="H42" s="41"/>
      <c r="I42" s="41"/>
      <c r="J42" s="41"/>
      <c r="K42" s="41"/>
      <c r="L42" s="41"/>
      <c r="M42" s="41"/>
      <c r="N42" s="41"/>
    </row>
    <row r="43" spans="1:14" s="12" customFormat="1" ht="13.5">
      <c r="A43" s="41"/>
      <c r="B43" s="1108"/>
      <c r="C43" s="37">
        <v>620</v>
      </c>
      <c r="D43" s="28" t="b">
        <f>F20=F21+F22+F23+F26</f>
        <v>1</v>
      </c>
      <c r="E43" s="29" t="s">
        <v>884</v>
      </c>
      <c r="F43" s="41"/>
      <c r="G43" s="41"/>
      <c r="H43" s="41"/>
      <c r="I43" s="41"/>
      <c r="J43" s="41"/>
      <c r="K43" s="41"/>
      <c r="L43" s="41"/>
      <c r="M43" s="41"/>
      <c r="N43" s="41"/>
    </row>
    <row r="44" spans="1:14" s="12" customFormat="1" ht="13.5">
      <c r="A44" s="41"/>
      <c r="B44" s="1108"/>
      <c r="C44" s="37">
        <v>630</v>
      </c>
      <c r="D44" s="28" t="b">
        <f>D23=D24+D25</f>
        <v>1</v>
      </c>
      <c r="E44" s="29" t="s">
        <v>885</v>
      </c>
      <c r="F44" s="41"/>
      <c r="G44" s="41"/>
      <c r="H44" s="41"/>
      <c r="I44" s="41"/>
      <c r="J44" s="41"/>
      <c r="K44" s="41"/>
      <c r="L44" s="41"/>
      <c r="M44" s="41"/>
      <c r="N44" s="41"/>
    </row>
    <row r="45" spans="1:14" s="12" customFormat="1" ht="13.5">
      <c r="A45" s="41"/>
      <c r="B45" s="1108"/>
      <c r="C45" s="37">
        <v>640</v>
      </c>
      <c r="D45" s="28" t="b">
        <f>E23=E24+E25</f>
        <v>1</v>
      </c>
      <c r="E45" s="29" t="s">
        <v>886</v>
      </c>
      <c r="F45" s="41"/>
      <c r="G45" s="41"/>
      <c r="H45" s="41"/>
      <c r="I45" s="41"/>
      <c r="J45" s="41"/>
      <c r="K45" s="41"/>
      <c r="L45" s="41"/>
      <c r="M45" s="41"/>
      <c r="N45" s="41"/>
    </row>
    <row r="46" spans="1:14" s="12" customFormat="1" ht="13.5">
      <c r="A46" s="41"/>
      <c r="B46" s="1108"/>
      <c r="C46" s="37">
        <v>650</v>
      </c>
      <c r="D46" s="28" t="b">
        <f>F23=F24+F25</f>
        <v>1</v>
      </c>
      <c r="E46" s="29" t="s">
        <v>887</v>
      </c>
      <c r="F46" s="41"/>
      <c r="G46" s="41"/>
      <c r="H46" s="41"/>
      <c r="I46" s="41"/>
      <c r="J46" s="41"/>
      <c r="K46" s="41"/>
      <c r="L46" s="41"/>
      <c r="M46" s="41"/>
      <c r="N46" s="41"/>
    </row>
    <row r="47" spans="1:14" s="12" customFormat="1" ht="13.5">
      <c r="A47" s="41"/>
      <c r="B47" s="1108"/>
      <c r="C47" s="37">
        <v>660</v>
      </c>
      <c r="D47" s="28" t="b">
        <f>D29=D5+D10+D20+D27+D28</f>
        <v>1</v>
      </c>
      <c r="E47" s="29" t="s">
        <v>888</v>
      </c>
      <c r="F47" s="41"/>
      <c r="G47" s="41"/>
      <c r="H47" s="41"/>
      <c r="I47" s="41"/>
      <c r="J47" s="41"/>
      <c r="K47" s="41"/>
      <c r="L47" s="41"/>
      <c r="M47" s="41"/>
      <c r="N47" s="41"/>
    </row>
    <row r="48" spans="1:14" s="12" customFormat="1" ht="13.5">
      <c r="A48" s="41"/>
      <c r="B48" s="1108"/>
      <c r="C48" s="37">
        <v>670</v>
      </c>
      <c r="D48" s="28" t="b">
        <f>E29=E5+E10+E20+E27+E28</f>
        <v>1</v>
      </c>
      <c r="E48" s="29" t="s">
        <v>889</v>
      </c>
      <c r="F48" s="41"/>
      <c r="G48" s="41"/>
      <c r="H48" s="41"/>
      <c r="I48" s="41"/>
      <c r="J48" s="41"/>
      <c r="K48" s="41"/>
      <c r="L48" s="41"/>
      <c r="M48" s="41"/>
      <c r="N48" s="41"/>
    </row>
    <row r="49" spans="1:14" s="12" customFormat="1" ht="13.5">
      <c r="A49" s="41"/>
      <c r="B49" s="1108"/>
      <c r="C49" s="37">
        <v>680</v>
      </c>
      <c r="D49" s="28" t="b">
        <f>F29=F5+F10+F20+F27+F28</f>
        <v>1</v>
      </c>
      <c r="E49" s="29" t="s">
        <v>890</v>
      </c>
      <c r="F49" s="41"/>
      <c r="G49" s="41"/>
      <c r="H49" s="41"/>
      <c r="I49" s="41"/>
      <c r="J49" s="41"/>
      <c r="K49" s="41"/>
      <c r="L49" s="41"/>
      <c r="M49" s="41"/>
      <c r="N49" s="41"/>
    </row>
    <row r="50" spans="1:14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L10" sqref="L10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21" orientation="portrait" r:id="rId4"/>
  <headerFooter alignWithMargins="0">
    <oddHeader>&amp;C22.B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Normal="100" workbookViewId="0"/>
  </sheetViews>
  <sheetFormatPr defaultRowHeight="10.5" customHeight="1"/>
  <cols>
    <col min="1" max="1" width="26.140625" style="14" bestFit="1" customWidth="1"/>
    <col min="2" max="2" width="9.5703125" style="14" bestFit="1" customWidth="1"/>
    <col min="3" max="3" width="7.85546875" style="14" customWidth="1"/>
    <col min="4" max="4" width="10" style="14" bestFit="1" customWidth="1"/>
    <col min="5" max="5" width="9.7109375" style="14" bestFit="1" customWidth="1"/>
    <col min="6" max="6" width="11.5703125" style="14" customWidth="1"/>
    <col min="7" max="7" width="9.5703125" style="14" bestFit="1" customWidth="1"/>
    <col min="8" max="12" width="9.140625" style="14"/>
    <col min="13" max="13" width="32" style="14" customWidth="1"/>
    <col min="14" max="16384" width="9.140625" style="14"/>
  </cols>
  <sheetData>
    <row r="1" spans="1:7" ht="16.5" thickBot="1">
      <c r="A1" s="477" t="s">
        <v>1247</v>
      </c>
      <c r="B1" s="279"/>
      <c r="C1" s="279"/>
      <c r="D1" s="279"/>
      <c r="E1" s="279"/>
      <c r="F1" s="279"/>
      <c r="G1" s="279"/>
    </row>
    <row r="2" spans="1:7" ht="117" customHeight="1" thickBot="1">
      <c r="A2" s="277" t="s">
        <v>1671</v>
      </c>
      <c r="B2" s="271" t="s">
        <v>1672</v>
      </c>
      <c r="C2" s="572"/>
      <c r="D2" s="271" t="s">
        <v>313</v>
      </c>
      <c r="E2" s="271" t="s">
        <v>270</v>
      </c>
      <c r="F2" s="271" t="s">
        <v>1248</v>
      </c>
      <c r="G2" s="271" t="s">
        <v>314</v>
      </c>
    </row>
    <row r="3" spans="1:7" ht="15.75" thickBot="1">
      <c r="A3" s="573"/>
      <c r="B3" s="574"/>
      <c r="C3" s="320" t="s">
        <v>1012</v>
      </c>
      <c r="D3" s="541" t="s">
        <v>1013</v>
      </c>
      <c r="E3" s="541" t="s">
        <v>1014</v>
      </c>
      <c r="F3" s="541" t="s">
        <v>1015</v>
      </c>
      <c r="G3" s="541" t="s">
        <v>1016</v>
      </c>
    </row>
    <row r="4" spans="1:7" ht="15.75" thickBot="1">
      <c r="A4" s="498" t="s">
        <v>1673</v>
      </c>
      <c r="B4" s="256" t="s">
        <v>740</v>
      </c>
      <c r="C4" s="332">
        <v>7100</v>
      </c>
      <c r="D4" s="953">
        <v>4</v>
      </c>
      <c r="E4" s="953">
        <v>4</v>
      </c>
      <c r="F4" s="953">
        <v>4</v>
      </c>
      <c r="G4" s="953">
        <v>4</v>
      </c>
    </row>
    <row r="5" spans="1:7" ht="15.75" thickBot="1">
      <c r="A5" s="498" t="s">
        <v>1674</v>
      </c>
      <c r="B5" s="256" t="s">
        <v>740</v>
      </c>
      <c r="C5" s="250">
        <v>7110</v>
      </c>
      <c r="D5" s="953">
        <v>4</v>
      </c>
      <c r="E5" s="953">
        <v>4</v>
      </c>
      <c r="F5" s="953">
        <v>4</v>
      </c>
      <c r="G5" s="953">
        <v>4</v>
      </c>
    </row>
    <row r="6" spans="1:7" ht="15.75" thickBot="1">
      <c r="A6" s="498" t="s">
        <v>1675</v>
      </c>
      <c r="B6" s="256" t="s">
        <v>740</v>
      </c>
      <c r="C6" s="250">
        <v>7120</v>
      </c>
      <c r="D6" s="953">
        <v>3</v>
      </c>
      <c r="E6" s="953">
        <v>3</v>
      </c>
      <c r="F6" s="953">
        <v>3</v>
      </c>
      <c r="G6" s="953">
        <v>3</v>
      </c>
    </row>
    <row r="7" spans="1:7" ht="15.75" thickBot="1">
      <c r="A7" s="498" t="s">
        <v>1676</v>
      </c>
      <c r="B7" s="256" t="s">
        <v>740</v>
      </c>
      <c r="C7" s="250">
        <v>7130</v>
      </c>
      <c r="D7" s="953">
        <v>3</v>
      </c>
      <c r="E7" s="953">
        <v>3</v>
      </c>
      <c r="F7" s="953">
        <v>3</v>
      </c>
      <c r="G7" s="953">
        <v>3</v>
      </c>
    </row>
    <row r="8" spans="1:7" ht="15.75" thickBot="1">
      <c r="A8" s="498" t="s">
        <v>1677</v>
      </c>
      <c r="B8" s="256" t="s">
        <v>740</v>
      </c>
      <c r="C8" s="250">
        <v>7140</v>
      </c>
      <c r="D8" s="953">
        <v>3</v>
      </c>
      <c r="E8" s="953">
        <v>3</v>
      </c>
      <c r="F8" s="953">
        <v>3</v>
      </c>
      <c r="G8" s="953">
        <v>3</v>
      </c>
    </row>
    <row r="9" spans="1:7" ht="15.75" thickBot="1">
      <c r="A9" s="498" t="s">
        <v>1678</v>
      </c>
      <c r="B9" s="256" t="s">
        <v>740</v>
      </c>
      <c r="C9" s="250">
        <v>7150</v>
      </c>
      <c r="D9" s="953">
        <v>3</v>
      </c>
      <c r="E9" s="953">
        <v>3</v>
      </c>
      <c r="F9" s="953">
        <v>3</v>
      </c>
      <c r="G9" s="953">
        <v>3</v>
      </c>
    </row>
    <row r="10" spans="1:7" ht="15.75" thickBot="1">
      <c r="A10" s="498" t="s">
        <v>1679</v>
      </c>
      <c r="B10" s="256" t="s">
        <v>740</v>
      </c>
      <c r="C10" s="250">
        <v>7160</v>
      </c>
      <c r="D10" s="953">
        <v>3</v>
      </c>
      <c r="E10" s="953">
        <v>3</v>
      </c>
      <c r="F10" s="953">
        <v>3</v>
      </c>
      <c r="G10" s="953">
        <v>3</v>
      </c>
    </row>
    <row r="11" spans="1:7" ht="15.75" thickBot="1">
      <c r="A11" s="498" t="s">
        <v>1241</v>
      </c>
      <c r="B11" s="256" t="s">
        <v>740</v>
      </c>
      <c r="C11" s="250">
        <v>7170</v>
      </c>
      <c r="D11" s="953">
        <v>3</v>
      </c>
      <c r="E11" s="953">
        <v>3</v>
      </c>
      <c r="F11" s="953">
        <v>3</v>
      </c>
      <c r="G11" s="953">
        <v>3</v>
      </c>
    </row>
    <row r="12" spans="1:7" ht="15.75" thickBot="1">
      <c r="A12" s="498" t="s">
        <v>1242</v>
      </c>
      <c r="B12" s="256" t="s">
        <v>740</v>
      </c>
      <c r="C12" s="250">
        <v>7180</v>
      </c>
      <c r="D12" s="953">
        <v>3</v>
      </c>
      <c r="E12" s="953">
        <v>3</v>
      </c>
      <c r="F12" s="953">
        <v>3</v>
      </c>
      <c r="G12" s="953">
        <v>3</v>
      </c>
    </row>
    <row r="13" spans="1:7" ht="15.75" thickBot="1">
      <c r="A13" s="498" t="s">
        <v>1243</v>
      </c>
      <c r="B13" s="256" t="s">
        <v>740</v>
      </c>
      <c r="C13" s="250">
        <v>7190</v>
      </c>
      <c r="D13" s="953">
        <v>3</v>
      </c>
      <c r="E13" s="953">
        <v>3</v>
      </c>
      <c r="F13" s="953">
        <v>3</v>
      </c>
      <c r="G13" s="953">
        <v>3</v>
      </c>
    </row>
    <row r="14" spans="1:7" ht="15.75" thickBot="1">
      <c r="A14" s="498" t="s">
        <v>1244</v>
      </c>
      <c r="B14" s="256" t="s">
        <v>740</v>
      </c>
      <c r="C14" s="250">
        <v>7200</v>
      </c>
      <c r="D14" s="953">
        <v>3</v>
      </c>
      <c r="E14" s="953">
        <v>3</v>
      </c>
      <c r="F14" s="953">
        <v>3</v>
      </c>
      <c r="G14" s="953">
        <v>3</v>
      </c>
    </row>
    <row r="15" spans="1:7" ht="15.75" thickBot="1">
      <c r="A15" s="498" t="s">
        <v>1245</v>
      </c>
      <c r="B15" s="256" t="s">
        <v>740</v>
      </c>
      <c r="C15" s="250">
        <v>7210</v>
      </c>
      <c r="D15" s="953">
        <v>13</v>
      </c>
      <c r="E15" s="953">
        <v>13</v>
      </c>
      <c r="F15" s="953">
        <v>13</v>
      </c>
      <c r="G15" s="953">
        <v>13</v>
      </c>
    </row>
    <row r="16" spans="1:7" ht="15.75" thickBot="1">
      <c r="A16" s="498" t="s">
        <v>1246</v>
      </c>
      <c r="B16" s="256" t="s">
        <v>740</v>
      </c>
      <c r="C16" s="336">
        <v>7220</v>
      </c>
      <c r="D16" s="953">
        <v>2</v>
      </c>
      <c r="E16" s="953">
        <v>2</v>
      </c>
      <c r="F16" s="953">
        <v>2</v>
      </c>
      <c r="G16" s="953">
        <v>2</v>
      </c>
    </row>
    <row r="17" spans="1:13" ht="15.75" thickBot="1">
      <c r="A17" s="429" t="s">
        <v>1059</v>
      </c>
      <c r="B17" s="256"/>
      <c r="C17" s="452">
        <v>7999</v>
      </c>
      <c r="D17" s="955">
        <f>SUM(D4:D16)</f>
        <v>50</v>
      </c>
      <c r="E17" s="955">
        <f>SUM(E4:E16)</f>
        <v>50</v>
      </c>
      <c r="F17" s="955">
        <f>SUM(F4:F16)</f>
        <v>50</v>
      </c>
      <c r="G17" s="955">
        <f>SUM(G4:G16)</f>
        <v>50</v>
      </c>
    </row>
    <row r="18" spans="1:13" ht="24" customHeight="1"/>
    <row r="21" spans="1:13" s="46" customFormat="1" ht="10.5" customHeight="1">
      <c r="B21" s="86"/>
      <c r="C21" s="33">
        <v>10</v>
      </c>
      <c r="D21" s="34" t="b">
        <f>D17=SUM(D4:D16)</f>
        <v>1</v>
      </c>
      <c r="E21" s="36" t="s">
        <v>80</v>
      </c>
      <c r="F21" s="1131"/>
      <c r="G21" s="1131"/>
      <c r="H21" s="1131"/>
      <c r="I21" s="1131"/>
      <c r="J21" s="1131"/>
      <c r="K21" s="1131"/>
      <c r="L21" s="1131"/>
      <c r="M21" s="1131"/>
    </row>
    <row r="22" spans="1:13" s="46" customFormat="1" ht="10.5" customHeight="1">
      <c r="B22" s="954"/>
      <c r="C22" s="33">
        <v>20</v>
      </c>
      <c r="D22" s="34" t="b">
        <f>E17=SUM(E4:E16)</f>
        <v>1</v>
      </c>
      <c r="E22" s="36" t="s">
        <v>81</v>
      </c>
      <c r="F22" s="1131"/>
      <c r="G22" s="1131"/>
      <c r="H22" s="1131"/>
      <c r="I22" s="1131"/>
      <c r="J22" s="1131"/>
      <c r="K22" s="1131"/>
      <c r="L22" s="1131"/>
      <c r="M22" s="1131"/>
    </row>
    <row r="23" spans="1:13" s="46" customFormat="1" ht="10.5" customHeight="1">
      <c r="B23" s="86"/>
      <c r="C23" s="33">
        <v>30</v>
      </c>
      <c r="D23" s="34" t="b">
        <f>F17=SUM(F4:F16)</f>
        <v>1</v>
      </c>
      <c r="E23" s="36" t="s">
        <v>82</v>
      </c>
      <c r="F23" s="1131"/>
      <c r="G23" s="1131"/>
      <c r="H23" s="1131"/>
      <c r="I23" s="1131"/>
      <c r="J23" s="1131"/>
      <c r="K23" s="1131"/>
      <c r="L23" s="1131"/>
      <c r="M23" s="1131"/>
    </row>
    <row r="24" spans="1:13" s="46" customFormat="1" ht="10.5" customHeight="1">
      <c r="B24" s="86"/>
      <c r="C24" s="33">
        <v>40</v>
      </c>
      <c r="D24" s="34" t="b">
        <f>G17=SUM(G4:G16)</f>
        <v>1</v>
      </c>
      <c r="E24" s="36" t="s">
        <v>83</v>
      </c>
      <c r="F24" s="1131"/>
      <c r="G24" s="1131"/>
      <c r="H24" s="1131"/>
      <c r="I24" s="1131"/>
      <c r="J24" s="1131"/>
      <c r="K24" s="1131"/>
      <c r="L24" s="1131"/>
      <c r="M24" s="1131"/>
    </row>
    <row r="25" spans="1:13" s="46" customFormat="1" ht="10.5" customHeight="1">
      <c r="B25" s="86"/>
      <c r="C25" s="33">
        <v>50</v>
      </c>
      <c r="D25" s="34" t="b">
        <f>'1.2'!E10&gt;=SUM('23.0'!D17:G17)</f>
        <v>1</v>
      </c>
      <c r="E25" s="36" t="s">
        <v>455</v>
      </c>
      <c r="F25" s="1131"/>
      <c r="G25" s="1132"/>
      <c r="H25" s="1132"/>
      <c r="I25" s="1132"/>
      <c r="J25" s="1132"/>
      <c r="K25" s="1132"/>
      <c r="L25" s="1132"/>
      <c r="M25" s="1131"/>
    </row>
    <row r="26" spans="1:13" s="84" customFormat="1" ht="10.5" customHeight="1"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75" orientation="landscape" r:id="rId4"/>
  <headerFooter alignWithMargins="0">
    <oddHeader>&amp;C23.0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"/>
  <sheetViews>
    <sheetView showGridLines="0" zoomScaleNormal="100" zoomScaleSheetLayoutView="100" workbookViewId="0"/>
  </sheetViews>
  <sheetFormatPr defaultRowHeight="12.75"/>
  <cols>
    <col min="1" max="1" width="53.5703125" customWidth="1"/>
    <col min="2" max="2" width="16.5703125" customWidth="1"/>
    <col min="3" max="3" width="7.5703125" customWidth="1"/>
    <col min="4" max="4" width="9.140625" style="20"/>
    <col min="6" max="6" width="18.42578125" customWidth="1"/>
    <col min="7" max="7" width="9.5703125" bestFit="1" customWidth="1"/>
    <col min="8" max="8" width="8.42578125" bestFit="1" customWidth="1"/>
    <col min="9" max="9" width="15.42578125" bestFit="1" customWidth="1"/>
    <col min="10" max="10" width="8.140625" customWidth="1"/>
    <col min="20" max="20" width="60.140625" customWidth="1"/>
  </cols>
  <sheetData>
    <row r="1" spans="1:5" ht="123" customHeight="1" thickBot="1">
      <c r="A1" s="269" t="s">
        <v>450</v>
      </c>
      <c r="B1" s="267" t="s">
        <v>2202</v>
      </c>
      <c r="C1" s="267" t="s">
        <v>336</v>
      </c>
      <c r="D1" s="267"/>
      <c r="E1" s="267" t="s">
        <v>2204</v>
      </c>
    </row>
    <row r="2" spans="1:5" ht="15" thickBot="1">
      <c r="A2" s="1190" t="s">
        <v>337</v>
      </c>
      <c r="B2" s="1191"/>
      <c r="C2" s="1191"/>
      <c r="D2" s="1191"/>
      <c r="E2" s="1192"/>
    </row>
    <row r="3" spans="1:5" ht="15.75" thickBot="1">
      <c r="A3" s="197"/>
      <c r="B3" s="198"/>
      <c r="C3" s="198"/>
      <c r="D3" s="171" t="s">
        <v>1012</v>
      </c>
      <c r="E3" s="172" t="s">
        <v>1013</v>
      </c>
    </row>
    <row r="4" spans="1:5" ht="15.75" thickBot="1">
      <c r="A4" s="199" t="s">
        <v>338</v>
      </c>
      <c r="B4" s="178" t="s">
        <v>339</v>
      </c>
      <c r="C4" s="179"/>
      <c r="D4" s="232">
        <v>7100</v>
      </c>
      <c r="E4" s="967">
        <f>E5-E14-E26+E27+E31-E32+E33+E39+SUM(E46:E50)</f>
        <v>1050</v>
      </c>
    </row>
    <row r="5" spans="1:5" ht="30">
      <c r="A5" s="146" t="s">
        <v>340</v>
      </c>
      <c r="B5" s="162" t="s">
        <v>341</v>
      </c>
      <c r="C5" s="163"/>
      <c r="D5" s="233">
        <v>7105</v>
      </c>
      <c r="E5" s="968">
        <f>+E6+E7+E8+E9+E10+E11+E12+E13</f>
        <v>200</v>
      </c>
    </row>
    <row r="6" spans="1:5" ht="15">
      <c r="A6" s="149" t="s">
        <v>749</v>
      </c>
      <c r="B6" s="200" t="s">
        <v>342</v>
      </c>
      <c r="C6" s="163"/>
      <c r="D6" s="233">
        <v>710501</v>
      </c>
      <c r="E6" s="969">
        <v>25</v>
      </c>
    </row>
    <row r="7" spans="1:5" ht="30">
      <c r="A7" s="201" t="s">
        <v>343</v>
      </c>
      <c r="B7" s="200" t="s">
        <v>344</v>
      </c>
      <c r="C7" s="163"/>
      <c r="D7" s="233">
        <v>710502</v>
      </c>
      <c r="E7" s="969">
        <v>25</v>
      </c>
    </row>
    <row r="8" spans="1:5" ht="30">
      <c r="A8" s="201" t="s">
        <v>345</v>
      </c>
      <c r="B8" s="200" t="s">
        <v>346</v>
      </c>
      <c r="C8" s="163"/>
      <c r="D8" s="233">
        <v>710503</v>
      </c>
      <c r="E8" s="969">
        <v>25</v>
      </c>
    </row>
    <row r="9" spans="1:5" ht="30">
      <c r="A9" s="201" t="s">
        <v>1101</v>
      </c>
      <c r="B9" s="200" t="s">
        <v>347</v>
      </c>
      <c r="C9" s="163"/>
      <c r="D9" s="233">
        <v>710504</v>
      </c>
      <c r="E9" s="969">
        <v>25</v>
      </c>
    </row>
    <row r="10" spans="1:5" ht="30">
      <c r="A10" s="201" t="s">
        <v>1103</v>
      </c>
      <c r="B10" s="200" t="s">
        <v>348</v>
      </c>
      <c r="C10" s="163"/>
      <c r="D10" s="233">
        <v>710505</v>
      </c>
      <c r="E10" s="970">
        <v>25</v>
      </c>
    </row>
    <row r="11" spans="1:5" ht="30">
      <c r="A11" s="201" t="s">
        <v>349</v>
      </c>
      <c r="B11" s="200" t="s">
        <v>348</v>
      </c>
      <c r="C11" s="163"/>
      <c r="D11" s="233">
        <v>710506</v>
      </c>
      <c r="E11" s="970">
        <v>25</v>
      </c>
    </row>
    <row r="12" spans="1:5" ht="30">
      <c r="A12" s="201" t="s">
        <v>350</v>
      </c>
      <c r="B12" s="200" t="s">
        <v>351</v>
      </c>
      <c r="C12" s="163"/>
      <c r="D12" s="233">
        <v>710507</v>
      </c>
      <c r="E12" s="970">
        <v>25</v>
      </c>
    </row>
    <row r="13" spans="1:5" ht="15">
      <c r="A13" s="201" t="s">
        <v>352</v>
      </c>
      <c r="B13" s="200" t="s">
        <v>353</v>
      </c>
      <c r="C13" s="163"/>
      <c r="D13" s="233">
        <v>710508</v>
      </c>
      <c r="E13" s="970">
        <v>25</v>
      </c>
    </row>
    <row r="14" spans="1:5" ht="15">
      <c r="A14" s="146" t="s">
        <v>354</v>
      </c>
      <c r="B14" s="202" t="s">
        <v>355</v>
      </c>
      <c r="C14" s="180"/>
      <c r="D14" s="233">
        <v>7107</v>
      </c>
      <c r="E14" s="971">
        <f>+E15+E16+E17+E18+E24+E25</f>
        <v>100</v>
      </c>
    </row>
    <row r="15" spans="1:5" ht="30">
      <c r="A15" s="149" t="s">
        <v>1017</v>
      </c>
      <c r="B15" s="203" t="s">
        <v>356</v>
      </c>
      <c r="C15" s="204"/>
      <c r="D15" s="233">
        <v>710701</v>
      </c>
      <c r="E15" s="970">
        <v>10</v>
      </c>
    </row>
    <row r="16" spans="1:5" ht="30">
      <c r="A16" s="201" t="s">
        <v>1470</v>
      </c>
      <c r="B16" s="203" t="s">
        <v>344</v>
      </c>
      <c r="C16" s="204"/>
      <c r="D16" s="233">
        <v>710702</v>
      </c>
      <c r="E16" s="970">
        <v>10</v>
      </c>
    </row>
    <row r="17" spans="1:5" ht="30">
      <c r="A17" s="201" t="s">
        <v>1471</v>
      </c>
      <c r="B17" s="203" t="s">
        <v>344</v>
      </c>
      <c r="C17" s="204"/>
      <c r="D17" s="233">
        <v>710703</v>
      </c>
      <c r="E17" s="972">
        <v>10</v>
      </c>
    </row>
    <row r="18" spans="1:5" ht="30">
      <c r="A18" s="201" t="s">
        <v>1399</v>
      </c>
      <c r="B18" s="203" t="s">
        <v>348</v>
      </c>
      <c r="C18" s="204"/>
      <c r="D18" s="233">
        <v>710704</v>
      </c>
      <c r="E18" s="971">
        <f>SUM(E19:E23)</f>
        <v>50</v>
      </c>
    </row>
    <row r="19" spans="1:5" ht="30">
      <c r="A19" s="205" t="s">
        <v>1472</v>
      </c>
      <c r="B19" s="203" t="s">
        <v>348</v>
      </c>
      <c r="C19" s="204"/>
      <c r="D19" s="233">
        <v>710705</v>
      </c>
      <c r="E19" s="970">
        <v>10</v>
      </c>
    </row>
    <row r="20" spans="1:5" ht="30">
      <c r="A20" s="205" t="s">
        <v>1473</v>
      </c>
      <c r="B20" s="203" t="s">
        <v>348</v>
      </c>
      <c r="C20" s="204"/>
      <c r="D20" s="233">
        <v>710706</v>
      </c>
      <c r="E20" s="970">
        <v>10</v>
      </c>
    </row>
    <row r="21" spans="1:5" ht="30">
      <c r="A21" s="205" t="s">
        <v>1474</v>
      </c>
      <c r="B21" s="203" t="s">
        <v>348</v>
      </c>
      <c r="C21" s="204"/>
      <c r="D21" s="233">
        <v>710707</v>
      </c>
      <c r="E21" s="970">
        <v>10</v>
      </c>
    </row>
    <row r="22" spans="1:5" ht="30">
      <c r="A22" s="205" t="s">
        <v>2325</v>
      </c>
      <c r="B22" s="203" t="s">
        <v>348</v>
      </c>
      <c r="C22" s="204"/>
      <c r="D22" s="233">
        <v>710708</v>
      </c>
      <c r="E22" s="970">
        <v>10</v>
      </c>
    </row>
    <row r="23" spans="1:5" ht="30">
      <c r="A23" s="205" t="s">
        <v>1475</v>
      </c>
      <c r="B23" s="203" t="s">
        <v>348</v>
      </c>
      <c r="C23" s="204"/>
      <c r="D23" s="233">
        <v>710709</v>
      </c>
      <c r="E23" s="970">
        <v>10</v>
      </c>
    </row>
    <row r="24" spans="1:5" ht="30">
      <c r="A24" s="201" t="s">
        <v>350</v>
      </c>
      <c r="B24" s="203" t="s">
        <v>1476</v>
      </c>
      <c r="C24" s="204"/>
      <c r="D24" s="233">
        <v>710710</v>
      </c>
      <c r="E24" s="970">
        <v>10</v>
      </c>
    </row>
    <row r="25" spans="1:5" ht="30">
      <c r="A25" s="201" t="s">
        <v>439</v>
      </c>
      <c r="B25" s="203" t="s">
        <v>356</v>
      </c>
      <c r="C25" s="204"/>
      <c r="D25" s="233">
        <v>710711</v>
      </c>
      <c r="E25" s="973">
        <v>10</v>
      </c>
    </row>
    <row r="26" spans="1:5" ht="30">
      <c r="A26" s="148" t="s">
        <v>440</v>
      </c>
      <c r="B26" s="206" t="s">
        <v>1731</v>
      </c>
      <c r="C26" s="167"/>
      <c r="D26" s="234">
        <v>7120</v>
      </c>
      <c r="E26" s="973">
        <v>50</v>
      </c>
    </row>
    <row r="27" spans="1:5" ht="15">
      <c r="A27" s="146" t="s">
        <v>1732</v>
      </c>
      <c r="B27" s="162" t="s">
        <v>1733</v>
      </c>
      <c r="C27" s="163"/>
      <c r="D27" s="234">
        <v>7130</v>
      </c>
      <c r="E27" s="971">
        <f>+E28+E29+E30</f>
        <v>100</v>
      </c>
    </row>
    <row r="28" spans="1:5" ht="30">
      <c r="A28" s="149" t="s">
        <v>343</v>
      </c>
      <c r="B28" s="200" t="s">
        <v>1734</v>
      </c>
      <c r="C28" s="163"/>
      <c r="D28" s="233" t="s">
        <v>2150</v>
      </c>
      <c r="E28" s="970">
        <v>50</v>
      </c>
    </row>
    <row r="29" spans="1:5" ht="30">
      <c r="A29" s="149" t="s">
        <v>345</v>
      </c>
      <c r="B29" s="200" t="s">
        <v>1735</v>
      </c>
      <c r="C29" s="163"/>
      <c r="D29" s="233" t="s">
        <v>2151</v>
      </c>
      <c r="E29" s="970">
        <v>10</v>
      </c>
    </row>
    <row r="30" spans="1:5" ht="30">
      <c r="A30" s="150" t="s">
        <v>1101</v>
      </c>
      <c r="B30" s="207" t="s">
        <v>1736</v>
      </c>
      <c r="C30" s="161"/>
      <c r="D30" s="233" t="s">
        <v>2152</v>
      </c>
      <c r="E30" s="973">
        <v>40</v>
      </c>
    </row>
    <row r="31" spans="1:5" ht="15">
      <c r="A31" s="146" t="s">
        <v>1737</v>
      </c>
      <c r="B31" s="162" t="s">
        <v>1738</v>
      </c>
      <c r="C31" s="163">
        <v>27</v>
      </c>
      <c r="D31" s="233">
        <v>7142</v>
      </c>
      <c r="E31" s="970">
        <v>200</v>
      </c>
    </row>
    <row r="32" spans="1:5" ht="15">
      <c r="A32" s="144" t="s">
        <v>1739</v>
      </c>
      <c r="B32" s="160" t="s">
        <v>1738</v>
      </c>
      <c r="C32" s="161"/>
      <c r="D32" s="233">
        <v>7147</v>
      </c>
      <c r="E32" s="973">
        <v>100</v>
      </c>
    </row>
    <row r="33" spans="1:5" ht="30">
      <c r="A33" s="146" t="s">
        <v>1740</v>
      </c>
      <c r="B33" s="162" t="s">
        <v>1741</v>
      </c>
      <c r="C33" s="163">
        <v>28</v>
      </c>
      <c r="D33" s="234">
        <v>7150</v>
      </c>
      <c r="E33" s="971">
        <f>+E34+E35+E36+E37+E38</f>
        <v>100</v>
      </c>
    </row>
    <row r="34" spans="1:5" ht="30">
      <c r="A34" s="149" t="s">
        <v>750</v>
      </c>
      <c r="B34" s="203" t="s">
        <v>751</v>
      </c>
      <c r="C34" s="163"/>
      <c r="D34" s="233" t="s">
        <v>2153</v>
      </c>
      <c r="E34" s="970">
        <v>20</v>
      </c>
    </row>
    <row r="35" spans="1:5" ht="30">
      <c r="A35" s="149" t="s">
        <v>1103</v>
      </c>
      <c r="B35" s="203" t="s">
        <v>752</v>
      </c>
      <c r="C35" s="163"/>
      <c r="D35" s="233" t="s">
        <v>2154</v>
      </c>
      <c r="E35" s="970">
        <v>20</v>
      </c>
    </row>
    <row r="36" spans="1:5" ht="45">
      <c r="A36" s="149" t="s">
        <v>349</v>
      </c>
      <c r="B36" s="203" t="s">
        <v>753</v>
      </c>
      <c r="C36" s="163"/>
      <c r="D36" s="233" t="s">
        <v>2155</v>
      </c>
      <c r="E36" s="970">
        <v>20</v>
      </c>
    </row>
    <row r="37" spans="1:5" ht="30">
      <c r="A37" s="149" t="s">
        <v>1399</v>
      </c>
      <c r="B37" s="203" t="s">
        <v>754</v>
      </c>
      <c r="C37" s="163"/>
      <c r="D37" s="233" t="s">
        <v>2156</v>
      </c>
      <c r="E37" s="970">
        <v>20</v>
      </c>
    </row>
    <row r="38" spans="1:5" ht="15">
      <c r="A38" s="150" t="s">
        <v>1742</v>
      </c>
      <c r="B38" s="207" t="s">
        <v>353</v>
      </c>
      <c r="C38" s="161"/>
      <c r="D38" s="233" t="s">
        <v>2157</v>
      </c>
      <c r="E38" s="970">
        <v>20</v>
      </c>
    </row>
    <row r="39" spans="1:5" ht="30">
      <c r="A39" s="146" t="s">
        <v>1743</v>
      </c>
      <c r="B39" s="162" t="s">
        <v>2587</v>
      </c>
      <c r="C39" s="163"/>
      <c r="D39" s="234">
        <v>7160</v>
      </c>
      <c r="E39" s="974">
        <f>+E40+E41+E42+E43+E44+E45</f>
        <v>100</v>
      </c>
    </row>
    <row r="40" spans="1:5" ht="15">
      <c r="A40" s="201" t="s">
        <v>2588</v>
      </c>
      <c r="B40" s="203" t="s">
        <v>740</v>
      </c>
      <c r="C40" s="163"/>
      <c r="D40" s="233" t="s">
        <v>2158</v>
      </c>
      <c r="E40" s="970">
        <v>15</v>
      </c>
    </row>
    <row r="41" spans="1:5" ht="15">
      <c r="A41" s="201" t="s">
        <v>991</v>
      </c>
      <c r="B41" s="203" t="s">
        <v>740</v>
      </c>
      <c r="C41" s="163"/>
      <c r="D41" s="233" t="s">
        <v>2159</v>
      </c>
      <c r="E41" s="970">
        <v>15</v>
      </c>
    </row>
    <row r="42" spans="1:5" ht="15">
      <c r="A42" s="201" t="s">
        <v>992</v>
      </c>
      <c r="B42" s="203" t="s">
        <v>740</v>
      </c>
      <c r="C42" s="163"/>
      <c r="D42" s="233" t="s">
        <v>2160</v>
      </c>
      <c r="E42" s="970">
        <v>15</v>
      </c>
    </row>
    <row r="43" spans="1:5" ht="15">
      <c r="A43" s="201" t="s">
        <v>993</v>
      </c>
      <c r="B43" s="203" t="s">
        <v>740</v>
      </c>
      <c r="C43" s="163"/>
      <c r="D43" s="233" t="s">
        <v>1639</v>
      </c>
      <c r="E43" s="970">
        <v>15</v>
      </c>
    </row>
    <row r="44" spans="1:5" ht="15">
      <c r="A44" s="201" t="s">
        <v>994</v>
      </c>
      <c r="B44" s="203" t="s">
        <v>740</v>
      </c>
      <c r="C44" s="163"/>
      <c r="D44" s="233" t="s">
        <v>1640</v>
      </c>
      <c r="E44" s="970">
        <v>15</v>
      </c>
    </row>
    <row r="45" spans="1:5" ht="15">
      <c r="A45" s="208" t="s">
        <v>995</v>
      </c>
      <c r="B45" s="207" t="s">
        <v>740</v>
      </c>
      <c r="C45" s="161"/>
      <c r="D45" s="233" t="s">
        <v>1641</v>
      </c>
      <c r="E45" s="973">
        <v>25</v>
      </c>
    </row>
    <row r="46" spans="1:5" ht="30">
      <c r="A46" s="146" t="s">
        <v>996</v>
      </c>
      <c r="B46" s="162" t="s">
        <v>997</v>
      </c>
      <c r="C46" s="163">
        <v>29</v>
      </c>
      <c r="D46" s="234">
        <v>7170</v>
      </c>
      <c r="E46" s="970">
        <v>100</v>
      </c>
    </row>
    <row r="47" spans="1:5" ht="15">
      <c r="A47" s="147" t="s">
        <v>578</v>
      </c>
      <c r="B47" s="164" t="s">
        <v>579</v>
      </c>
      <c r="C47" s="165">
        <v>30</v>
      </c>
      <c r="D47" s="234">
        <v>7180</v>
      </c>
      <c r="E47" s="975">
        <v>100</v>
      </c>
    </row>
    <row r="48" spans="1:5" ht="15">
      <c r="A48" s="147" t="s">
        <v>580</v>
      </c>
      <c r="B48" s="209" t="s">
        <v>581</v>
      </c>
      <c r="C48" s="156"/>
      <c r="D48" s="234">
        <v>7190</v>
      </c>
      <c r="E48" s="975">
        <v>200</v>
      </c>
    </row>
    <row r="49" spans="1:5" ht="30">
      <c r="A49" s="147" t="s">
        <v>582</v>
      </c>
      <c r="B49" s="209" t="s">
        <v>583</v>
      </c>
      <c r="C49" s="156">
        <v>31</v>
      </c>
      <c r="D49" s="234">
        <v>7200</v>
      </c>
      <c r="E49" s="975">
        <v>100</v>
      </c>
    </row>
    <row r="50" spans="1:5" ht="15.75" thickBot="1">
      <c r="A50" s="147" t="s">
        <v>584</v>
      </c>
      <c r="B50" s="164" t="s">
        <v>353</v>
      </c>
      <c r="C50" s="165">
        <v>32</v>
      </c>
      <c r="D50" s="234">
        <v>7210</v>
      </c>
      <c r="E50" s="975">
        <v>100</v>
      </c>
    </row>
    <row r="51" spans="1:5" ht="15.75" thickBot="1">
      <c r="A51" s="210" t="s">
        <v>585</v>
      </c>
      <c r="B51" s="211" t="s">
        <v>586</v>
      </c>
      <c r="C51" s="212"/>
      <c r="D51" s="234">
        <v>7220</v>
      </c>
      <c r="E51" s="976">
        <f>+E52+E53</f>
        <v>160</v>
      </c>
    </row>
    <row r="52" spans="1:5" ht="15">
      <c r="A52" s="149" t="s">
        <v>588</v>
      </c>
      <c r="B52" s="162" t="s">
        <v>589</v>
      </c>
      <c r="C52" s="163">
        <v>33</v>
      </c>
      <c r="D52" s="234">
        <v>7230</v>
      </c>
      <c r="E52" s="969">
        <v>120</v>
      </c>
    </row>
    <row r="53" spans="1:5" ht="15.75" thickBot="1">
      <c r="A53" s="213" t="s">
        <v>590</v>
      </c>
      <c r="B53" s="214" t="s">
        <v>2323</v>
      </c>
      <c r="C53" s="215">
        <v>34</v>
      </c>
      <c r="D53" s="234">
        <v>7240</v>
      </c>
      <c r="E53" s="977">
        <v>40</v>
      </c>
    </row>
    <row r="54" spans="1:5" ht="15.75" thickBot="1">
      <c r="A54" s="216" t="s">
        <v>591</v>
      </c>
      <c r="B54" s="214" t="s">
        <v>592</v>
      </c>
      <c r="C54" s="215"/>
      <c r="D54" s="234">
        <v>7250</v>
      </c>
      <c r="E54" s="978">
        <f>+E55+E56+E57</f>
        <v>60</v>
      </c>
    </row>
    <row r="55" spans="1:5" ht="15">
      <c r="A55" s="149" t="s">
        <v>473</v>
      </c>
      <c r="B55" s="162" t="s">
        <v>593</v>
      </c>
      <c r="C55" s="163">
        <v>13</v>
      </c>
      <c r="D55" s="234">
        <v>7260</v>
      </c>
      <c r="E55" s="969">
        <v>20</v>
      </c>
    </row>
    <row r="56" spans="1:5" ht="15">
      <c r="A56" s="149" t="s">
        <v>594</v>
      </c>
      <c r="B56" s="162" t="s">
        <v>593</v>
      </c>
      <c r="C56" s="163">
        <v>14</v>
      </c>
      <c r="D56" s="234">
        <v>7270</v>
      </c>
      <c r="E56" s="969">
        <v>20</v>
      </c>
    </row>
    <row r="57" spans="1:5" ht="30.75" thickBot="1">
      <c r="A57" s="213" t="s">
        <v>595</v>
      </c>
      <c r="B57" s="214" t="s">
        <v>596</v>
      </c>
      <c r="C57" s="215">
        <v>15</v>
      </c>
      <c r="D57" s="234">
        <v>7280</v>
      </c>
      <c r="E57" s="977">
        <v>20</v>
      </c>
    </row>
    <row r="58" spans="1:5" ht="15.75" thickBot="1">
      <c r="A58" s="216" t="s">
        <v>2330</v>
      </c>
      <c r="B58" s="214" t="s">
        <v>597</v>
      </c>
      <c r="C58" s="215">
        <v>25</v>
      </c>
      <c r="D58" s="234">
        <v>7290</v>
      </c>
      <c r="E58" s="977">
        <v>195</v>
      </c>
    </row>
    <row r="59" spans="1:5" ht="15.75" thickBot="1">
      <c r="A59" s="216" t="s">
        <v>598</v>
      </c>
      <c r="B59" s="217"/>
      <c r="C59" s="218">
        <v>37</v>
      </c>
      <c r="D59" s="234">
        <v>7300</v>
      </c>
      <c r="E59" s="978">
        <f>+E60+E65</f>
        <v>360</v>
      </c>
    </row>
    <row r="60" spans="1:5" ht="30">
      <c r="A60" s="219" t="s">
        <v>599</v>
      </c>
      <c r="B60" s="238" t="s">
        <v>600</v>
      </c>
      <c r="C60" s="177"/>
      <c r="D60" s="234">
        <v>7310</v>
      </c>
      <c r="E60" s="967">
        <f>+E61+E62+E63+E64</f>
        <v>160</v>
      </c>
    </row>
    <row r="61" spans="1:5" ht="30">
      <c r="A61" s="220" t="s">
        <v>601</v>
      </c>
      <c r="B61" s="238" t="s">
        <v>106</v>
      </c>
      <c r="C61" s="221"/>
      <c r="D61" s="233" t="s">
        <v>1642</v>
      </c>
      <c r="E61" s="979">
        <v>40</v>
      </c>
    </row>
    <row r="62" spans="1:5" ht="30">
      <c r="A62" s="220" t="s">
        <v>107</v>
      </c>
      <c r="B62" s="238" t="s">
        <v>108</v>
      </c>
      <c r="C62" s="221"/>
      <c r="D62" s="233" t="s">
        <v>1643</v>
      </c>
      <c r="E62" s="979">
        <v>40</v>
      </c>
    </row>
    <row r="63" spans="1:5" ht="30">
      <c r="A63" s="220" t="s">
        <v>1103</v>
      </c>
      <c r="B63" s="238" t="s">
        <v>600</v>
      </c>
      <c r="C63" s="221"/>
      <c r="D63" s="233" t="s">
        <v>1644</v>
      </c>
      <c r="E63" s="979">
        <v>40</v>
      </c>
    </row>
    <row r="64" spans="1:5" ht="30">
      <c r="A64" s="222" t="s">
        <v>109</v>
      </c>
      <c r="B64" s="223" t="s">
        <v>600</v>
      </c>
      <c r="C64" s="224"/>
      <c r="D64" s="233" t="s">
        <v>1645</v>
      </c>
      <c r="E64" s="980">
        <v>40</v>
      </c>
    </row>
    <row r="65" spans="1:5" ht="15">
      <c r="A65" s="146" t="s">
        <v>110</v>
      </c>
      <c r="B65" s="241" t="s">
        <v>111</v>
      </c>
      <c r="C65" s="177"/>
      <c r="D65" s="234">
        <v>7360</v>
      </c>
      <c r="E65" s="967">
        <f>+E66+E67+E68+E69+E70+E71</f>
        <v>200</v>
      </c>
    </row>
    <row r="66" spans="1:5" ht="15">
      <c r="A66" s="220" t="s">
        <v>112</v>
      </c>
      <c r="B66" s="241" t="s">
        <v>113</v>
      </c>
      <c r="C66" s="177"/>
      <c r="D66" s="233" t="s">
        <v>1646</v>
      </c>
      <c r="E66" s="969">
        <v>50</v>
      </c>
    </row>
    <row r="67" spans="1:5" ht="15">
      <c r="A67" s="225" t="s">
        <v>114</v>
      </c>
      <c r="B67" s="241" t="s">
        <v>115</v>
      </c>
      <c r="C67" s="177"/>
      <c r="D67" s="233" t="s">
        <v>1647</v>
      </c>
      <c r="E67" s="969">
        <v>30</v>
      </c>
    </row>
    <row r="68" spans="1:5" ht="15">
      <c r="A68" s="225" t="s">
        <v>116</v>
      </c>
      <c r="B68" s="241" t="s">
        <v>117</v>
      </c>
      <c r="C68" s="177"/>
      <c r="D68" s="233" t="s">
        <v>1648</v>
      </c>
      <c r="E68" s="969">
        <v>12</v>
      </c>
    </row>
    <row r="69" spans="1:5" ht="15">
      <c r="A69" s="225" t="s">
        <v>595</v>
      </c>
      <c r="B69" s="241" t="s">
        <v>740</v>
      </c>
      <c r="C69" s="177"/>
      <c r="D69" s="233" t="s">
        <v>1650</v>
      </c>
      <c r="E69" s="969">
        <v>28</v>
      </c>
    </row>
    <row r="70" spans="1:5" ht="30">
      <c r="A70" s="225" t="s">
        <v>118</v>
      </c>
      <c r="B70" s="241" t="s">
        <v>119</v>
      </c>
      <c r="C70" s="177"/>
      <c r="D70" s="233" t="s">
        <v>1649</v>
      </c>
      <c r="E70" s="969">
        <v>40</v>
      </c>
    </row>
    <row r="71" spans="1:5" ht="15.75" thickBot="1">
      <c r="A71" s="225" t="s">
        <v>1591</v>
      </c>
      <c r="B71" s="241" t="s">
        <v>740</v>
      </c>
      <c r="C71" s="177"/>
      <c r="D71" s="233" t="s">
        <v>1651</v>
      </c>
      <c r="E71" s="977">
        <v>40</v>
      </c>
    </row>
    <row r="72" spans="1:5" ht="29.25" thickBot="1">
      <c r="A72" s="226" t="s">
        <v>120</v>
      </c>
      <c r="B72" s="227" t="s">
        <v>121</v>
      </c>
      <c r="C72" s="170"/>
      <c r="D72" s="233">
        <v>7420</v>
      </c>
      <c r="E72" s="969">
        <v>225</v>
      </c>
    </row>
    <row r="73" spans="1:5" ht="43.5" thickBot="1">
      <c r="A73" s="236" t="s">
        <v>810</v>
      </c>
      <c r="B73" s="178" t="s">
        <v>122</v>
      </c>
      <c r="C73" s="195"/>
      <c r="D73" s="234">
        <v>7430</v>
      </c>
      <c r="E73" s="981">
        <v>200</v>
      </c>
    </row>
    <row r="74" spans="1:5" ht="43.5" thickBot="1">
      <c r="A74" s="228" t="s">
        <v>123</v>
      </c>
      <c r="B74" s="178" t="s">
        <v>124</v>
      </c>
      <c r="C74" s="195"/>
      <c r="D74" s="234">
        <v>7499</v>
      </c>
      <c r="E74" s="981">
        <v>100</v>
      </c>
    </row>
    <row r="75" spans="1:5" ht="29.25" thickBot="1">
      <c r="A75" s="229" t="s">
        <v>125</v>
      </c>
      <c r="B75" s="178"/>
      <c r="C75" s="179"/>
      <c r="D75" s="235">
        <v>7599</v>
      </c>
      <c r="E75" s="967">
        <f>+E4-E51-E54-E58-E59+E72+E73+E74</f>
        <v>800</v>
      </c>
    </row>
    <row r="76" spans="1:5" ht="30.75" thickBot="1">
      <c r="A76" s="182" t="s">
        <v>126</v>
      </c>
      <c r="B76" s="178" t="s">
        <v>127</v>
      </c>
      <c r="C76" s="237"/>
      <c r="D76" s="235">
        <v>7600</v>
      </c>
      <c r="E76" s="981">
        <v>100</v>
      </c>
    </row>
    <row r="77" spans="1:5" ht="29.25" thickBot="1">
      <c r="A77" s="230" t="s">
        <v>128</v>
      </c>
      <c r="B77" s="178"/>
      <c r="C77" s="179"/>
      <c r="D77" s="235">
        <v>7699</v>
      </c>
      <c r="E77" s="978">
        <f>+E75-E76</f>
        <v>700</v>
      </c>
    </row>
    <row r="78" spans="1:5" ht="29.25" thickBot="1">
      <c r="A78" s="231" t="s">
        <v>129</v>
      </c>
      <c r="B78" s="178" t="s">
        <v>130</v>
      </c>
      <c r="C78" s="179">
        <v>36</v>
      </c>
      <c r="D78" s="235">
        <v>7799</v>
      </c>
      <c r="E78" s="977">
        <v>60</v>
      </c>
    </row>
    <row r="79" spans="1:5" ht="43.5" thickBot="1">
      <c r="A79" s="231" t="s">
        <v>131</v>
      </c>
      <c r="B79" s="194" t="s">
        <v>132</v>
      </c>
      <c r="C79" s="179"/>
      <c r="D79" s="235">
        <v>7899</v>
      </c>
      <c r="E79" s="978">
        <f>+E78+E77</f>
        <v>760</v>
      </c>
    </row>
    <row r="80" spans="1:5" ht="15.75" thickBot="1">
      <c r="A80" s="182" t="s">
        <v>133</v>
      </c>
      <c r="B80" s="194" t="s">
        <v>134</v>
      </c>
      <c r="C80" s="179"/>
      <c r="D80" s="235">
        <v>7900</v>
      </c>
      <c r="E80" s="977">
        <v>20</v>
      </c>
    </row>
    <row r="81" spans="1:21" ht="15.75" thickBot="1">
      <c r="A81" s="230" t="s">
        <v>135</v>
      </c>
      <c r="B81" s="194" t="s">
        <v>136</v>
      </c>
      <c r="C81" s="179"/>
      <c r="D81" s="235">
        <v>7999</v>
      </c>
      <c r="E81" s="978">
        <f>+E79-E80</f>
        <v>740</v>
      </c>
    </row>
    <row r="85" spans="1:21" s="12" customFormat="1" ht="14.25" customHeight="1">
      <c r="A85" s="41"/>
      <c r="B85" s="43"/>
      <c r="C85" s="37">
        <v>10</v>
      </c>
      <c r="D85" s="28" t="b">
        <f>E75=E4-E51-E54-E58-E59+E72+E73+E74</f>
        <v>1</v>
      </c>
      <c r="E85" s="791" t="s">
        <v>1338</v>
      </c>
      <c r="F85" s="793"/>
      <c r="G85" s="793"/>
      <c r="H85" s="793"/>
      <c r="I85" s="793"/>
      <c r="J85" s="793"/>
      <c r="K85" s="793"/>
      <c r="L85" s="793"/>
      <c r="M85" s="793"/>
      <c r="N85" s="793"/>
      <c r="O85" s="32"/>
      <c r="P85" s="32"/>
      <c r="Q85" s="32"/>
      <c r="R85" s="32"/>
      <c r="S85" s="32"/>
      <c r="T85" s="32"/>
      <c r="U85" s="32"/>
    </row>
    <row r="86" spans="1:21" s="12" customFormat="1" ht="14.25" customHeight="1">
      <c r="A86" s="41"/>
      <c r="B86" s="43"/>
      <c r="C86" s="37">
        <v>20</v>
      </c>
      <c r="D86" s="28" t="b">
        <f>E77=E75-E76</f>
        <v>1</v>
      </c>
      <c r="E86" s="791" t="s">
        <v>1339</v>
      </c>
      <c r="F86" s="793"/>
      <c r="G86" s="793"/>
      <c r="H86" s="793"/>
      <c r="I86" s="793"/>
      <c r="J86" s="793"/>
      <c r="K86" s="793"/>
      <c r="L86" s="793"/>
      <c r="M86" s="793"/>
      <c r="N86" s="793"/>
      <c r="O86" s="32"/>
      <c r="P86" s="32"/>
      <c r="Q86" s="32"/>
      <c r="R86" s="32"/>
      <c r="S86" s="32"/>
      <c r="T86" s="32"/>
      <c r="U86" s="32"/>
    </row>
    <row r="87" spans="1:21" s="12" customFormat="1" ht="14.25" customHeight="1">
      <c r="A87" s="41"/>
      <c r="B87" s="43"/>
      <c r="C87" s="37">
        <v>30</v>
      </c>
      <c r="D87" s="28" t="b">
        <f>E79=E77+E78</f>
        <v>1</v>
      </c>
      <c r="E87" s="791" t="s">
        <v>1340</v>
      </c>
      <c r="F87" s="793"/>
      <c r="G87" s="793"/>
      <c r="H87" s="793"/>
      <c r="I87" s="793"/>
      <c r="J87" s="793"/>
      <c r="K87" s="793"/>
      <c r="L87" s="793"/>
      <c r="M87" s="793"/>
      <c r="N87" s="793"/>
      <c r="O87" s="32"/>
      <c r="P87" s="32"/>
      <c r="Q87" s="32"/>
      <c r="R87" s="32"/>
      <c r="S87" s="32"/>
      <c r="T87" s="32"/>
      <c r="U87" s="32"/>
    </row>
    <row r="88" spans="1:21" s="12" customFormat="1" ht="14.25" customHeight="1">
      <c r="A88" s="41"/>
      <c r="B88" s="43"/>
      <c r="C88" s="37">
        <v>40</v>
      </c>
      <c r="D88" s="28" t="b">
        <f>E81=E79-E80</f>
        <v>1</v>
      </c>
      <c r="E88" s="791" t="s">
        <v>1341</v>
      </c>
      <c r="F88" s="793"/>
      <c r="G88" s="793"/>
      <c r="H88" s="793"/>
      <c r="I88" s="793"/>
      <c r="J88" s="793"/>
      <c r="K88" s="793"/>
      <c r="L88" s="793"/>
      <c r="M88" s="793"/>
      <c r="N88" s="793"/>
      <c r="O88" s="32"/>
      <c r="P88" s="32"/>
      <c r="Q88" s="32"/>
      <c r="R88" s="32"/>
      <c r="S88" s="32"/>
      <c r="T88" s="32"/>
      <c r="U88" s="32"/>
    </row>
    <row r="89" spans="1:21" s="12" customFormat="1" ht="14.25" customHeight="1">
      <c r="A89" s="41"/>
      <c r="B89" s="43"/>
      <c r="C89" s="37">
        <v>50</v>
      </c>
      <c r="D89" s="28" t="b">
        <f>E4=E5-E14-E26+E27+E31-E32+E33+E39+E46+E47+E48+E49+E50</f>
        <v>1</v>
      </c>
      <c r="E89" s="791" t="s">
        <v>1342</v>
      </c>
      <c r="F89" s="793"/>
      <c r="G89" s="793"/>
      <c r="H89" s="793"/>
      <c r="I89" s="793"/>
      <c r="J89" s="793"/>
      <c r="K89" s="793"/>
      <c r="L89" s="793"/>
      <c r="M89" s="793"/>
      <c r="N89" s="793"/>
      <c r="O89" s="32"/>
      <c r="P89" s="32"/>
      <c r="Q89" s="32"/>
      <c r="R89" s="32"/>
      <c r="S89" s="32"/>
      <c r="T89" s="32"/>
      <c r="U89" s="32"/>
    </row>
    <row r="90" spans="1:21" s="12" customFormat="1" ht="14.25" customHeight="1">
      <c r="A90" s="41"/>
      <c r="B90" s="43"/>
      <c r="C90" s="37">
        <v>60</v>
      </c>
      <c r="D90" s="28" t="b">
        <f>E51=E52+E53</f>
        <v>1</v>
      </c>
      <c r="E90" s="791" t="s">
        <v>1343</v>
      </c>
      <c r="F90" s="793"/>
      <c r="G90" s="793"/>
      <c r="H90" s="793"/>
      <c r="I90" s="793"/>
      <c r="J90" s="793"/>
      <c r="K90" s="793"/>
      <c r="L90" s="793"/>
      <c r="M90" s="793"/>
      <c r="N90" s="793"/>
      <c r="O90" s="32"/>
      <c r="P90" s="32"/>
      <c r="Q90" s="32"/>
      <c r="R90" s="32"/>
      <c r="S90" s="32"/>
      <c r="T90" s="32"/>
      <c r="U90" s="32"/>
    </row>
    <row r="91" spans="1:21" s="12" customFormat="1" ht="14.25" customHeight="1">
      <c r="A91" s="41"/>
      <c r="B91" s="43"/>
      <c r="C91" s="37">
        <v>70</v>
      </c>
      <c r="D91" s="28" t="b">
        <f>E54=E55+E56+E57</f>
        <v>1</v>
      </c>
      <c r="E91" s="791" t="s">
        <v>1344</v>
      </c>
      <c r="F91" s="793"/>
      <c r="G91" s="793"/>
      <c r="H91" s="793"/>
      <c r="I91" s="793"/>
      <c r="J91" s="793"/>
      <c r="K91" s="793"/>
      <c r="L91" s="793"/>
      <c r="M91" s="793"/>
      <c r="N91" s="793"/>
      <c r="O91" s="32"/>
      <c r="P91" s="32"/>
      <c r="Q91" s="32"/>
      <c r="R91" s="32"/>
      <c r="S91" s="32"/>
      <c r="T91" s="32"/>
      <c r="U91" s="32"/>
    </row>
    <row r="92" spans="1:21" s="12" customFormat="1" ht="14.25" customHeight="1">
      <c r="A92" s="41"/>
      <c r="B92" s="43"/>
      <c r="C92" s="37">
        <v>80</v>
      </c>
      <c r="D92" s="28" t="b">
        <f>E59=E60+E65</f>
        <v>1</v>
      </c>
      <c r="E92" s="791" t="s">
        <v>1345</v>
      </c>
      <c r="F92" s="793"/>
      <c r="G92" s="793"/>
      <c r="H92" s="793"/>
      <c r="I92" s="793"/>
      <c r="J92" s="793"/>
      <c r="K92" s="793"/>
      <c r="L92" s="793"/>
      <c r="M92" s="793"/>
      <c r="N92" s="793"/>
      <c r="O92" s="32"/>
      <c r="P92" s="32"/>
      <c r="Q92" s="32"/>
      <c r="R92" s="32"/>
      <c r="S92" s="32"/>
      <c r="T92" s="32"/>
      <c r="U92" s="32"/>
    </row>
    <row r="93" spans="1:21" s="12" customFormat="1" ht="14.25" customHeight="1">
      <c r="A93" s="41"/>
      <c r="B93" s="43"/>
      <c r="C93" s="37">
        <v>90</v>
      </c>
      <c r="D93" s="28" t="b">
        <f>E60=E61+E62+E63+E64</f>
        <v>1</v>
      </c>
      <c r="E93" s="791" t="s">
        <v>1346</v>
      </c>
      <c r="F93" s="793"/>
      <c r="G93" s="793"/>
      <c r="H93" s="793"/>
      <c r="I93" s="793"/>
      <c r="J93" s="793"/>
      <c r="K93" s="793"/>
      <c r="L93" s="793"/>
      <c r="M93" s="793"/>
      <c r="N93" s="793"/>
      <c r="O93" s="32"/>
      <c r="P93" s="32"/>
      <c r="Q93" s="32"/>
      <c r="R93" s="32"/>
      <c r="S93" s="32"/>
      <c r="T93" s="32"/>
      <c r="U93" s="32"/>
    </row>
    <row r="94" spans="1:21" s="12" customFormat="1" ht="14.25" customHeight="1">
      <c r="A94" s="41"/>
      <c r="B94" s="43"/>
      <c r="C94" s="37">
        <v>100</v>
      </c>
      <c r="D94" s="28" t="b">
        <f>E65=E66+E67+E68+E69+E70+E71</f>
        <v>1</v>
      </c>
      <c r="E94" s="791" t="s">
        <v>1347</v>
      </c>
      <c r="F94" s="793"/>
      <c r="G94" s="793"/>
      <c r="H94" s="793"/>
      <c r="I94" s="793"/>
      <c r="J94" s="793"/>
      <c r="K94" s="793"/>
      <c r="L94" s="793"/>
      <c r="M94" s="793"/>
      <c r="N94" s="793"/>
      <c r="O94" s="32"/>
      <c r="P94" s="32"/>
      <c r="Q94" s="32"/>
      <c r="R94" s="32"/>
      <c r="S94" s="32"/>
      <c r="T94" s="32"/>
      <c r="U94" s="32"/>
    </row>
    <row r="95" spans="1:21" ht="13.5">
      <c r="C95" s="37">
        <v>110</v>
      </c>
      <c r="D95" s="28" t="b">
        <f>E5=E6+E7+E8+E9+E10+E11+E12+E13</f>
        <v>1</v>
      </c>
      <c r="E95" s="791" t="s">
        <v>1348</v>
      </c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</row>
    <row r="96" spans="1:21" ht="13.5">
      <c r="C96" s="37">
        <v>120</v>
      </c>
      <c r="D96" s="28" t="b">
        <f>E14=E15+E16+E17+E18+E24+E25</f>
        <v>1</v>
      </c>
      <c r="E96" s="791" t="s">
        <v>1349</v>
      </c>
      <c r="F96" s="794"/>
      <c r="G96" s="794"/>
      <c r="H96" s="794"/>
      <c r="I96" s="794"/>
      <c r="J96" s="794"/>
      <c r="K96" s="794"/>
      <c r="L96" s="794"/>
      <c r="M96" s="794"/>
      <c r="N96" s="794"/>
      <c r="O96" s="794"/>
      <c r="P96" s="794"/>
      <c r="Q96" s="794"/>
      <c r="R96" s="794"/>
      <c r="S96" s="794"/>
      <c r="T96" s="794"/>
      <c r="U96" s="794"/>
    </row>
    <row r="97" spans="3:5" ht="13.5">
      <c r="C97" s="37">
        <v>130</v>
      </c>
      <c r="D97" s="28" t="b">
        <f>E18=SUM(E19:E23)</f>
        <v>1</v>
      </c>
      <c r="E97" s="791" t="s">
        <v>1350</v>
      </c>
    </row>
    <row r="98" spans="3:5" ht="13.5">
      <c r="C98" s="37">
        <v>140</v>
      </c>
      <c r="D98" s="28" t="b">
        <f>E27=E28+E29+E30</f>
        <v>1</v>
      </c>
      <c r="E98" s="791" t="s">
        <v>1351</v>
      </c>
    </row>
    <row r="99" spans="3:5" ht="13.5">
      <c r="C99" s="37">
        <v>150</v>
      </c>
      <c r="D99" s="28" t="b">
        <f>E33=SUM(E34:E38)</f>
        <v>1</v>
      </c>
      <c r="E99" s="791" t="s">
        <v>223</v>
      </c>
    </row>
    <row r="100" spans="3:5" ht="13.5">
      <c r="C100" s="37">
        <v>160</v>
      </c>
      <c r="D100" s="28" t="b">
        <f>E39=SUM(E40:E45)</f>
        <v>1</v>
      </c>
      <c r="E100" s="791" t="s">
        <v>224</v>
      </c>
    </row>
  </sheetData>
  <customSheetViews>
    <customSheetView guid="{5D819D0C-25F7-408A-B978-F4F86F7655CA}" showPageBreaks="1" showRuler="0" topLeftCell="A62">
      <selection activeCell="H75" sqref="H75"/>
      <pageMargins left="0.75" right="0.75" top="1" bottom="1" header="0.5" footer="0.5"/>
      <pageSetup paperSize="8" scale="71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71" orientation="portrait" r:id="rId2"/>
      <headerFooter alignWithMargins="0"/>
    </customSheetView>
    <customSheetView guid="{5B30C222-34DE-40B1-88FD-0AC1604C96E8}" scale="75" showGridLines="0" showRuler="0" topLeftCell="A40">
      <selection activeCell="B22" sqref="B22"/>
      <pageMargins left="0.75" right="0.75" top="1" bottom="1" header="0.5" footer="0.5"/>
      <pageSetup paperSize="8" scale="71" orientation="portrait" r:id="rId3"/>
      <headerFooter alignWithMargins="0"/>
    </customSheetView>
  </customSheetViews>
  <mergeCells count="1">
    <mergeCell ref="A2:E2"/>
  </mergeCells>
  <phoneticPr fontId="0" type="noConversion"/>
  <pageMargins left="0.08" right="0.22" top="1" bottom="1" header="0.5" footer="0.5"/>
  <pageSetup paperSize="8" scale="85" orientation="portrait" r:id="rId4"/>
  <headerFooter alignWithMargins="0">
    <oddHeader>&amp;C2.0</oddHeader>
  </headerFooter>
  <rowBreaks count="1" manualBreakCount="1">
    <brk id="46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Normal="100" workbookViewId="0"/>
  </sheetViews>
  <sheetFormatPr defaultRowHeight="12.75"/>
  <cols>
    <col min="1" max="1" width="8.5703125" customWidth="1"/>
    <col min="2" max="2" width="17.140625" customWidth="1"/>
    <col min="3" max="3" width="13.85546875" bestFit="1" customWidth="1"/>
    <col min="4" max="4" width="13.28515625" customWidth="1"/>
    <col min="5" max="5" width="14.140625" customWidth="1"/>
    <col min="6" max="6" width="16.7109375" bestFit="1" customWidth="1"/>
    <col min="7" max="7" width="14.140625" customWidth="1"/>
  </cols>
  <sheetData>
    <row r="1" spans="1:7" s="5" customFormat="1" ht="16.5" thickBot="1">
      <c r="A1" s="477" t="s">
        <v>928</v>
      </c>
      <c r="B1" s="279"/>
      <c r="C1" s="279"/>
      <c r="D1" s="279"/>
      <c r="E1" s="279"/>
      <c r="F1" s="279"/>
      <c r="G1" s="279"/>
    </row>
    <row r="2" spans="1:7" ht="105" customHeight="1" thickBot="1">
      <c r="A2" s="279"/>
      <c r="B2" s="401" t="s">
        <v>984</v>
      </c>
      <c r="C2" s="575" t="s">
        <v>982</v>
      </c>
      <c r="D2" s="1216" t="s">
        <v>1230</v>
      </c>
      <c r="E2" s="1217"/>
      <c r="F2" s="1218"/>
      <c r="G2" s="575" t="s">
        <v>983</v>
      </c>
    </row>
    <row r="3" spans="1:7" ht="53.25" customHeight="1" thickBot="1">
      <c r="A3" s="279"/>
      <c r="B3" s="576"/>
      <c r="C3" s="577"/>
      <c r="D3" s="1216" t="s">
        <v>1053</v>
      </c>
      <c r="E3" s="1218"/>
      <c r="F3" s="402" t="s">
        <v>985</v>
      </c>
      <c r="G3" s="577"/>
    </row>
    <row r="4" spans="1:7" ht="105.75" thickBot="1">
      <c r="A4" s="279"/>
      <c r="B4" s="576"/>
      <c r="C4" s="577"/>
      <c r="D4" s="578" t="s">
        <v>926</v>
      </c>
      <c r="E4" s="578" t="s">
        <v>986</v>
      </c>
      <c r="F4" s="577"/>
      <c r="G4" s="577"/>
    </row>
    <row r="5" spans="1:7" ht="15.75" thickBot="1">
      <c r="A5" s="474" t="s">
        <v>1012</v>
      </c>
      <c r="B5" s="318" t="s">
        <v>927</v>
      </c>
      <c r="C5" s="319" t="s">
        <v>1013</v>
      </c>
      <c r="D5" s="319" t="s">
        <v>1014</v>
      </c>
      <c r="E5" s="319" t="s">
        <v>1015</v>
      </c>
      <c r="F5" s="319" t="s">
        <v>1016</v>
      </c>
      <c r="G5" s="319" t="s">
        <v>525</v>
      </c>
    </row>
    <row r="6" spans="1:7" ht="15.75" thickBot="1">
      <c r="A6" s="579">
        <v>750</v>
      </c>
      <c r="B6" s="351" t="s">
        <v>1054</v>
      </c>
      <c r="C6" s="956"/>
      <c r="D6" s="956"/>
      <c r="E6" s="956"/>
      <c r="F6" s="956"/>
      <c r="G6" s="956"/>
    </row>
    <row r="7" spans="1:7" ht="15.75" thickBot="1">
      <c r="A7" s="580">
        <v>7110</v>
      </c>
      <c r="B7" s="264" t="s">
        <v>141</v>
      </c>
      <c r="C7" s="956"/>
      <c r="D7" s="956"/>
      <c r="E7" s="956"/>
      <c r="F7" s="956"/>
      <c r="G7" s="956"/>
    </row>
    <row r="8" spans="1:7" ht="26.25" thickBot="1">
      <c r="A8" s="580">
        <v>7111</v>
      </c>
      <c r="B8" s="264"/>
      <c r="C8" s="957" t="s">
        <v>2635</v>
      </c>
      <c r="D8" s="957">
        <v>340</v>
      </c>
      <c r="E8" s="957">
        <v>110</v>
      </c>
      <c r="F8" s="957">
        <v>76</v>
      </c>
      <c r="G8" s="957">
        <v>40</v>
      </c>
    </row>
    <row r="9" spans="1:7" ht="15.75" thickBot="1">
      <c r="A9" s="580">
        <v>7112</v>
      </c>
      <c r="B9" s="264"/>
      <c r="C9" s="957"/>
      <c r="D9" s="957"/>
      <c r="E9" s="957"/>
      <c r="F9" s="957"/>
      <c r="G9" s="957"/>
    </row>
    <row r="10" spans="1:7" ht="15.75" thickBot="1">
      <c r="A10" s="580">
        <v>7120</v>
      </c>
      <c r="B10" s="264" t="s">
        <v>2197</v>
      </c>
      <c r="C10" s="958"/>
      <c r="D10" s="958"/>
      <c r="E10" s="958"/>
      <c r="F10" s="958"/>
      <c r="G10" s="958"/>
    </row>
    <row r="11" spans="1:7" ht="26.25" thickBot="1">
      <c r="A11" s="580">
        <v>7121</v>
      </c>
      <c r="B11" s="264"/>
      <c r="C11" s="957" t="s">
        <v>2636</v>
      </c>
      <c r="D11" s="957">
        <v>340</v>
      </c>
      <c r="E11" s="957">
        <v>110</v>
      </c>
      <c r="F11" s="957">
        <v>76</v>
      </c>
      <c r="G11" s="957">
        <v>40</v>
      </c>
    </row>
    <row r="12" spans="1:7" ht="15.75" thickBot="1">
      <c r="A12" s="580">
        <v>7122</v>
      </c>
      <c r="B12" s="264"/>
      <c r="C12" s="957"/>
      <c r="D12" s="957"/>
      <c r="E12" s="957"/>
      <c r="F12" s="957"/>
      <c r="G12" s="957"/>
    </row>
    <row r="13" spans="1:7" ht="30.75" thickBot="1">
      <c r="A13" s="580">
        <v>7130</v>
      </c>
      <c r="B13" s="264" t="s">
        <v>522</v>
      </c>
      <c r="C13" s="958"/>
      <c r="D13" s="958"/>
      <c r="E13" s="958"/>
      <c r="F13" s="958"/>
      <c r="G13" s="958"/>
    </row>
    <row r="14" spans="1:7" ht="26.25" thickBot="1">
      <c r="A14" s="580">
        <v>7131</v>
      </c>
      <c r="B14" s="264"/>
      <c r="C14" s="957" t="s">
        <v>2637</v>
      </c>
      <c r="D14" s="957">
        <v>340</v>
      </c>
      <c r="E14" s="957">
        <v>110</v>
      </c>
      <c r="F14" s="957">
        <v>76</v>
      </c>
      <c r="G14" s="957">
        <v>40</v>
      </c>
    </row>
    <row r="15" spans="1:7" ht="15.75" thickBot="1">
      <c r="A15" s="580">
        <v>7132</v>
      </c>
      <c r="B15" s="264"/>
      <c r="C15" s="959"/>
      <c r="D15" s="959"/>
      <c r="E15" s="959"/>
      <c r="F15" s="959"/>
      <c r="G15" s="959"/>
    </row>
    <row r="16" spans="1:7" ht="45.75" thickBot="1">
      <c r="A16" s="579">
        <v>7150</v>
      </c>
      <c r="B16" s="264" t="s">
        <v>1055</v>
      </c>
      <c r="C16" s="958"/>
      <c r="D16" s="958"/>
      <c r="E16" s="958"/>
      <c r="F16" s="958"/>
      <c r="G16" s="958"/>
    </row>
    <row r="17" spans="1:7" ht="15.75" thickBot="1">
      <c r="A17" s="580">
        <v>7200</v>
      </c>
      <c r="B17" s="264" t="s">
        <v>141</v>
      </c>
      <c r="C17" s="958"/>
      <c r="D17" s="958"/>
      <c r="E17" s="958"/>
      <c r="F17" s="958"/>
      <c r="G17" s="958"/>
    </row>
    <row r="18" spans="1:7" ht="26.25" thickBot="1">
      <c r="A18" s="580">
        <v>7201</v>
      </c>
      <c r="B18" s="264"/>
      <c r="C18" s="957" t="s">
        <v>2638</v>
      </c>
      <c r="D18" s="957">
        <v>340</v>
      </c>
      <c r="E18" s="957">
        <v>110</v>
      </c>
      <c r="F18" s="957">
        <v>76</v>
      </c>
      <c r="G18" s="957">
        <v>40</v>
      </c>
    </row>
    <row r="19" spans="1:7" ht="15.75" thickBot="1">
      <c r="A19" s="580">
        <v>7202</v>
      </c>
      <c r="B19" s="264"/>
      <c r="C19" s="957"/>
      <c r="D19" s="957"/>
      <c r="E19" s="957"/>
      <c r="F19" s="957"/>
      <c r="G19" s="957"/>
    </row>
    <row r="20" spans="1:7" ht="15.75" thickBot="1">
      <c r="A20" s="580">
        <v>7210</v>
      </c>
      <c r="B20" s="264" t="s">
        <v>2197</v>
      </c>
      <c r="C20" s="958"/>
      <c r="D20" s="958"/>
      <c r="E20" s="958"/>
      <c r="F20" s="958"/>
      <c r="G20" s="958"/>
    </row>
    <row r="21" spans="1:7" ht="26.25" thickBot="1">
      <c r="A21" s="580">
        <v>7211</v>
      </c>
      <c r="B21" s="264"/>
      <c r="C21" s="957" t="s">
        <v>2639</v>
      </c>
      <c r="D21" s="957">
        <v>340</v>
      </c>
      <c r="E21" s="957">
        <v>110</v>
      </c>
      <c r="F21" s="957">
        <v>76</v>
      </c>
      <c r="G21" s="957">
        <v>40</v>
      </c>
    </row>
    <row r="22" spans="1:7" ht="15.75" thickBot="1">
      <c r="A22" s="580">
        <v>7212</v>
      </c>
      <c r="B22" s="264"/>
      <c r="C22" s="959"/>
      <c r="D22" s="959"/>
      <c r="E22" s="959"/>
      <c r="F22" s="959"/>
      <c r="G22" s="959"/>
    </row>
    <row r="23" spans="1:7" ht="30.75" thickBot="1">
      <c r="A23" s="580">
        <v>7220</v>
      </c>
      <c r="B23" s="264" t="s">
        <v>522</v>
      </c>
      <c r="C23" s="958"/>
      <c r="D23" s="958"/>
      <c r="E23" s="958"/>
      <c r="F23" s="958"/>
      <c r="G23" s="958"/>
    </row>
    <row r="24" spans="1:7" ht="26.25" thickBot="1">
      <c r="A24" s="580">
        <v>7221</v>
      </c>
      <c r="B24" s="264"/>
      <c r="C24" s="957" t="s">
        <v>2640</v>
      </c>
      <c r="D24" s="957">
        <v>340</v>
      </c>
      <c r="E24" s="957">
        <v>110</v>
      </c>
      <c r="F24" s="957">
        <v>76</v>
      </c>
      <c r="G24" s="957">
        <v>40</v>
      </c>
    </row>
    <row r="25" spans="1:7" ht="15.75" thickBot="1">
      <c r="A25" s="581">
        <v>7222</v>
      </c>
      <c r="B25" s="264"/>
      <c r="C25" s="959"/>
      <c r="D25" s="959"/>
      <c r="E25" s="959"/>
      <c r="F25" s="959"/>
      <c r="G25" s="959"/>
    </row>
    <row r="26" spans="1:7" ht="15.75" thickBot="1">
      <c r="A26" s="579">
        <v>7250</v>
      </c>
      <c r="B26" s="351" t="s">
        <v>1056</v>
      </c>
      <c r="C26" s="958"/>
      <c r="D26" s="958"/>
      <c r="E26" s="958"/>
      <c r="F26" s="958"/>
      <c r="G26" s="958"/>
    </row>
    <row r="27" spans="1:7" ht="15.75" thickBot="1">
      <c r="A27" s="580">
        <v>7300</v>
      </c>
      <c r="B27" s="264" t="s">
        <v>141</v>
      </c>
      <c r="C27" s="958"/>
      <c r="D27" s="958"/>
      <c r="E27" s="958"/>
      <c r="F27" s="958"/>
      <c r="G27" s="958"/>
    </row>
    <row r="28" spans="1:7" ht="26.25" thickBot="1">
      <c r="A28" s="580">
        <v>7301</v>
      </c>
      <c r="B28" s="264"/>
      <c r="C28" s="957" t="s">
        <v>2641</v>
      </c>
      <c r="D28" s="957">
        <v>340</v>
      </c>
      <c r="E28" s="957">
        <v>110</v>
      </c>
      <c r="F28" s="957">
        <v>76</v>
      </c>
      <c r="G28" s="957">
        <v>40</v>
      </c>
    </row>
    <row r="29" spans="1:7" ht="15.75" thickBot="1">
      <c r="A29" s="580">
        <v>7302</v>
      </c>
      <c r="B29" s="264"/>
      <c r="C29" s="957"/>
      <c r="D29" s="957"/>
      <c r="E29" s="957"/>
      <c r="F29" s="957"/>
      <c r="G29" s="957"/>
    </row>
    <row r="30" spans="1:7" ht="15.75" thickBot="1">
      <c r="A30" s="580">
        <v>7310</v>
      </c>
      <c r="B30" s="264" t="s">
        <v>2197</v>
      </c>
      <c r="C30" s="958"/>
      <c r="D30" s="958"/>
      <c r="E30" s="958"/>
      <c r="F30" s="958"/>
      <c r="G30" s="958"/>
    </row>
    <row r="31" spans="1:7" ht="26.25" thickBot="1">
      <c r="A31" s="580">
        <v>7311</v>
      </c>
      <c r="B31" s="264"/>
      <c r="C31" s="957" t="s">
        <v>2642</v>
      </c>
      <c r="D31" s="957">
        <v>340</v>
      </c>
      <c r="E31" s="957">
        <v>110</v>
      </c>
      <c r="F31" s="957">
        <v>76</v>
      </c>
      <c r="G31" s="957">
        <v>40</v>
      </c>
    </row>
    <row r="32" spans="1:7" ht="15.75" thickBot="1">
      <c r="A32" s="580">
        <v>7312</v>
      </c>
      <c r="B32" s="264"/>
      <c r="C32" s="959"/>
      <c r="D32" s="959"/>
      <c r="E32" s="959"/>
      <c r="F32" s="959"/>
      <c r="G32" s="959"/>
    </row>
    <row r="33" spans="1:7" ht="30.75" thickBot="1">
      <c r="A33" s="580">
        <v>7320</v>
      </c>
      <c r="B33" s="264" t="s">
        <v>522</v>
      </c>
      <c r="C33" s="958"/>
      <c r="D33" s="958"/>
      <c r="E33" s="958"/>
      <c r="F33" s="958"/>
      <c r="G33" s="958"/>
    </row>
    <row r="34" spans="1:7" ht="26.25" thickBot="1">
      <c r="A34" s="580">
        <v>7321</v>
      </c>
      <c r="B34" s="264"/>
      <c r="C34" s="957" t="s">
        <v>2643</v>
      </c>
      <c r="D34" s="957">
        <v>340</v>
      </c>
      <c r="E34" s="957">
        <v>110</v>
      </c>
      <c r="F34" s="957">
        <v>76</v>
      </c>
      <c r="G34" s="957">
        <v>40</v>
      </c>
    </row>
    <row r="35" spans="1:7" ht="15.75" thickBot="1">
      <c r="A35" s="580">
        <v>7322</v>
      </c>
      <c r="B35" s="264"/>
      <c r="C35" s="959"/>
      <c r="D35" s="959"/>
      <c r="E35" s="959"/>
      <c r="F35" s="959"/>
      <c r="G35" s="959"/>
    </row>
    <row r="36" spans="1:7" ht="30.75" thickBot="1">
      <c r="A36" s="579">
        <v>7350</v>
      </c>
      <c r="B36" s="264" t="s">
        <v>1057</v>
      </c>
      <c r="C36" s="960"/>
      <c r="D36" s="960"/>
      <c r="E36" s="960"/>
      <c r="F36" s="960"/>
      <c r="G36" s="960"/>
    </row>
    <row r="37" spans="1:7" ht="15.75" thickBot="1">
      <c r="A37" s="580">
        <v>7410</v>
      </c>
      <c r="B37" s="264" t="s">
        <v>2197</v>
      </c>
      <c r="C37" s="956"/>
      <c r="D37" s="956"/>
      <c r="E37" s="956"/>
      <c r="F37" s="956"/>
      <c r="G37" s="956"/>
    </row>
    <row r="38" spans="1:7" ht="26.25" thickBot="1">
      <c r="A38" s="580">
        <v>7411</v>
      </c>
      <c r="B38" s="264"/>
      <c r="C38" s="957" t="s">
        <v>2644</v>
      </c>
      <c r="D38" s="957">
        <v>340</v>
      </c>
      <c r="E38" s="957">
        <v>110</v>
      </c>
      <c r="F38" s="957">
        <v>76</v>
      </c>
      <c r="G38" s="957">
        <v>40</v>
      </c>
    </row>
    <row r="39" spans="1:7" ht="15.75" thickBot="1">
      <c r="A39" s="580">
        <v>7412</v>
      </c>
      <c r="B39" s="264"/>
      <c r="C39" s="957"/>
      <c r="D39" s="957"/>
      <c r="E39" s="957"/>
      <c r="F39" s="957"/>
      <c r="G39" s="957"/>
    </row>
    <row r="40" spans="1:7" ht="30.75" thickBot="1">
      <c r="A40" s="580">
        <v>7420</v>
      </c>
      <c r="B40" s="264" t="s">
        <v>522</v>
      </c>
      <c r="C40" s="958"/>
      <c r="D40" s="958"/>
      <c r="E40" s="958"/>
      <c r="F40" s="958"/>
      <c r="G40" s="958"/>
    </row>
    <row r="41" spans="1:7" ht="26.25" thickBot="1">
      <c r="A41" s="580">
        <v>7421</v>
      </c>
      <c r="B41" s="264"/>
      <c r="C41" s="957" t="s">
        <v>2645</v>
      </c>
      <c r="D41" s="957">
        <v>340</v>
      </c>
      <c r="E41" s="957">
        <v>110</v>
      </c>
      <c r="F41" s="957">
        <v>80</v>
      </c>
      <c r="G41" s="957">
        <v>40</v>
      </c>
    </row>
    <row r="42" spans="1:7" ht="15.75" thickBot="1">
      <c r="A42" s="580">
        <v>7422</v>
      </c>
      <c r="B42" s="264"/>
      <c r="C42" s="959"/>
      <c r="D42" s="959"/>
      <c r="E42" s="959"/>
      <c r="F42" s="959"/>
      <c r="G42" s="959"/>
    </row>
    <row r="43" spans="1:7" ht="15.75" thickBot="1">
      <c r="A43" s="579">
        <v>7450</v>
      </c>
      <c r="B43" s="264" t="s">
        <v>1058</v>
      </c>
      <c r="C43" s="958"/>
      <c r="D43" s="958"/>
      <c r="E43" s="958"/>
      <c r="F43" s="958"/>
      <c r="G43" s="958"/>
    </row>
    <row r="44" spans="1:7" ht="15.75" thickBot="1">
      <c r="A44" s="580">
        <v>7500</v>
      </c>
      <c r="B44" s="264" t="s">
        <v>2197</v>
      </c>
      <c r="C44" s="958"/>
      <c r="D44" s="958"/>
      <c r="E44" s="958"/>
      <c r="F44" s="958"/>
      <c r="G44" s="958"/>
    </row>
    <row r="45" spans="1:7" ht="26.25" thickBot="1">
      <c r="A45" s="580">
        <v>7501</v>
      </c>
      <c r="B45" s="264"/>
      <c r="C45" s="957" t="s">
        <v>2646</v>
      </c>
      <c r="D45" s="957">
        <v>340</v>
      </c>
      <c r="E45" s="957">
        <v>110</v>
      </c>
      <c r="F45" s="957">
        <v>80</v>
      </c>
      <c r="G45" s="957">
        <v>40</v>
      </c>
    </row>
    <row r="46" spans="1:7" ht="15.75" thickBot="1">
      <c r="A46" s="580">
        <v>7502</v>
      </c>
      <c r="B46" s="264"/>
      <c r="C46" s="957"/>
      <c r="D46" s="957"/>
      <c r="E46" s="957"/>
      <c r="F46" s="957"/>
      <c r="G46" s="957"/>
    </row>
    <row r="47" spans="1:7" ht="30.75" thickBot="1">
      <c r="A47" s="580">
        <v>7510</v>
      </c>
      <c r="B47" s="264" t="s">
        <v>522</v>
      </c>
      <c r="C47" s="958"/>
      <c r="D47" s="958"/>
      <c r="E47" s="958"/>
      <c r="F47" s="958"/>
      <c r="G47" s="958"/>
    </row>
    <row r="48" spans="1:7" ht="26.25" thickBot="1">
      <c r="A48" s="580">
        <v>7511</v>
      </c>
      <c r="B48" s="264"/>
      <c r="C48" s="957" t="s">
        <v>2647</v>
      </c>
      <c r="D48" s="957">
        <v>340</v>
      </c>
      <c r="E48" s="957">
        <v>110</v>
      </c>
      <c r="F48" s="957">
        <v>80</v>
      </c>
      <c r="G48" s="957">
        <v>40</v>
      </c>
    </row>
    <row r="49" spans="1:11" ht="15.75" thickBot="1">
      <c r="A49" s="580">
        <v>7512</v>
      </c>
      <c r="B49" s="264"/>
      <c r="C49" s="959"/>
      <c r="D49" s="959"/>
      <c r="E49" s="959"/>
      <c r="F49" s="959"/>
      <c r="G49" s="959"/>
    </row>
    <row r="50" spans="1:11" ht="15.75" thickBot="1">
      <c r="A50" s="579">
        <v>7999</v>
      </c>
      <c r="B50" s="582" t="s">
        <v>1059</v>
      </c>
      <c r="C50" s="958"/>
      <c r="D50" s="961">
        <f>SUM(D4:D49)</f>
        <v>4420</v>
      </c>
      <c r="E50" s="961">
        <f>SUM(E4:E49)</f>
        <v>1430</v>
      </c>
      <c r="F50" s="962">
        <f>SUM(F4:F49)</f>
        <v>1000</v>
      </c>
      <c r="G50" s="961">
        <f>SUM(G4:G49)</f>
        <v>520</v>
      </c>
    </row>
    <row r="51" spans="1:11" ht="15">
      <c r="A51" s="279"/>
      <c r="B51" s="279"/>
      <c r="C51" s="279"/>
      <c r="D51" s="279"/>
      <c r="E51" s="279"/>
      <c r="F51" s="963">
        <f>F50-'1.2'!E12</f>
        <v>0</v>
      </c>
      <c r="G51" s="279"/>
    </row>
    <row r="52" spans="1:11">
      <c r="A52" s="15"/>
    </row>
    <row r="55" spans="1:11" s="12" customFormat="1" ht="13.5">
      <c r="A55" s="41"/>
      <c r="B55" s="45"/>
      <c r="C55" s="37"/>
      <c r="D55" s="28" t="s">
        <v>641</v>
      </c>
      <c r="E55" s="29"/>
    </row>
    <row r="56" spans="1:11" s="12" customFormat="1" ht="15" customHeight="1">
      <c r="A56" s="41"/>
      <c r="B56" s="45"/>
      <c r="C56" s="79">
        <v>10</v>
      </c>
      <c r="D56" s="90" t="b">
        <f>OR(IF(C8&lt;&gt;"",D8&lt;&gt;""),OR(AND(C8="",D8="")))</f>
        <v>1</v>
      </c>
      <c r="E56" s="29" t="s">
        <v>642</v>
      </c>
      <c r="F56" s="41"/>
      <c r="G56" s="41"/>
      <c r="H56" s="41"/>
      <c r="I56" s="41"/>
      <c r="J56" s="41"/>
      <c r="K56" s="41"/>
    </row>
    <row r="57" spans="1:11" s="12" customFormat="1" ht="12.75" customHeight="1">
      <c r="A57" s="41"/>
      <c r="B57" s="45"/>
      <c r="C57" s="79">
        <v>20</v>
      </c>
      <c r="D57" s="90" t="b">
        <f>OR(IF(C9&lt;&gt;"",D9&lt;&gt;""),OR(AND(C9="",D9="")))</f>
        <v>1</v>
      </c>
      <c r="E57" s="29" t="s">
        <v>643</v>
      </c>
      <c r="F57" s="41"/>
      <c r="G57" s="41"/>
      <c r="H57" s="41"/>
      <c r="I57" s="41"/>
      <c r="J57" s="41"/>
      <c r="K57" s="41"/>
    </row>
    <row r="58" spans="1:11" s="12" customFormat="1" ht="13.5">
      <c r="A58" s="41"/>
      <c r="B58" s="45"/>
      <c r="C58" s="37">
        <v>30</v>
      </c>
      <c r="D58" s="28" t="b">
        <f>D50=SUM(D8:D49)</f>
        <v>1</v>
      </c>
      <c r="E58" s="29" t="s">
        <v>644</v>
      </c>
      <c r="F58" s="41"/>
      <c r="G58" s="41"/>
      <c r="H58" s="41"/>
      <c r="I58" s="41"/>
      <c r="J58" s="41"/>
      <c r="K58" s="41"/>
    </row>
    <row r="59" spans="1:11" s="12" customFormat="1" ht="13.5">
      <c r="A59" s="41"/>
      <c r="B59" s="45"/>
      <c r="C59" s="79">
        <v>40</v>
      </c>
      <c r="D59" s="28" t="b">
        <f>E50=SUM(E8:E49)</f>
        <v>1</v>
      </c>
      <c r="E59" s="29" t="s">
        <v>645</v>
      </c>
      <c r="F59" s="41"/>
      <c r="G59" s="41"/>
      <c r="H59" s="41"/>
      <c r="I59" s="41"/>
      <c r="J59" s="41"/>
      <c r="K59" s="41"/>
    </row>
    <row r="60" spans="1:11" s="12" customFormat="1" ht="13.5">
      <c r="A60" s="41"/>
      <c r="B60" s="45"/>
      <c r="C60" s="79">
        <v>50</v>
      </c>
      <c r="D60" s="28" t="b">
        <f>F50=SUM(F8:F49)</f>
        <v>1</v>
      </c>
      <c r="E60" s="29" t="s">
        <v>646</v>
      </c>
      <c r="F60" s="41"/>
      <c r="G60" s="41"/>
      <c r="H60" s="41"/>
      <c r="I60" s="41"/>
      <c r="J60" s="41"/>
      <c r="K60" s="41"/>
    </row>
    <row r="61" spans="1:11" s="12" customFormat="1" ht="13.5">
      <c r="A61" s="41"/>
      <c r="B61" s="45"/>
      <c r="C61" s="37">
        <v>60</v>
      </c>
      <c r="D61" s="28" t="b">
        <f>G50=SUM(G8:G49)</f>
        <v>1</v>
      </c>
      <c r="E61" s="29" t="s">
        <v>647</v>
      </c>
      <c r="F61" s="41"/>
      <c r="G61" s="41"/>
      <c r="H61" s="41"/>
      <c r="I61" s="41"/>
      <c r="J61" s="41"/>
      <c r="K61" s="41"/>
    </row>
    <row r="62" spans="1:11" s="12" customFormat="1" ht="13.5">
      <c r="A62" s="41"/>
      <c r="B62" s="45"/>
      <c r="C62" s="79">
        <v>70</v>
      </c>
      <c r="D62" s="28" t="b">
        <f>F50='1.2'!E12</f>
        <v>1</v>
      </c>
      <c r="E62" s="29" t="s">
        <v>648</v>
      </c>
      <c r="F62" s="41"/>
      <c r="G62" s="41"/>
      <c r="H62" s="41"/>
      <c r="I62" s="41"/>
      <c r="J62" s="41"/>
      <c r="K62" s="41"/>
    </row>
    <row r="63" spans="1:11">
      <c r="C63" s="2"/>
      <c r="D63" s="2"/>
      <c r="E63" s="2"/>
      <c r="F63" s="2"/>
      <c r="G63" s="2"/>
      <c r="H63" s="2"/>
      <c r="I63" s="2"/>
      <c r="J63" s="2"/>
      <c r="K63" s="2"/>
    </row>
  </sheetData>
  <customSheetViews>
    <customSheetView guid="{5D819D0C-25F7-408A-B978-F4F86F7655CA}" showPageBreaks="1" showRuler="0" topLeftCell="A3">
      <selection activeCell="J6" sqref="J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2" sqref="A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2" sqref="A2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D2:F2"/>
    <mergeCell ref="D3:E3"/>
  </mergeCells>
  <phoneticPr fontId="0" type="noConversion"/>
  <pageMargins left="0.75" right="0.75" top="1" bottom="1" header="0.5" footer="0.5"/>
  <pageSetup paperSize="8" scale="91" orientation="portrait" r:id="rId4"/>
  <headerFooter alignWithMargins="0">
    <oddHeader>&amp;C24.0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Normal="100" zoomScaleSheetLayoutView="100" workbookViewId="0"/>
  </sheetViews>
  <sheetFormatPr defaultRowHeight="12.75"/>
  <cols>
    <col min="1" max="1" width="39.7109375" customWidth="1"/>
    <col min="2" max="2" width="9.7109375" customWidth="1"/>
    <col min="3" max="3" width="5.5703125" customWidth="1"/>
    <col min="4" max="4" width="8.42578125" customWidth="1"/>
    <col min="5" max="5" width="9" customWidth="1"/>
    <col min="6" max="6" width="9.7109375" customWidth="1"/>
    <col min="7" max="7" width="8.5703125" customWidth="1"/>
    <col min="8" max="8" width="11.140625" customWidth="1"/>
    <col min="9" max="9" width="10.28515625" customWidth="1"/>
    <col min="10" max="10" width="8.7109375" customWidth="1"/>
    <col min="11" max="11" width="8" customWidth="1"/>
    <col min="13" max="13" width="12.28515625" bestFit="1" customWidth="1"/>
    <col min="14" max="14" width="7.7109375" bestFit="1" customWidth="1"/>
    <col min="16" max="16" width="4.85546875" bestFit="1" customWidth="1"/>
    <col min="17" max="17" width="5.7109375" bestFit="1" customWidth="1"/>
    <col min="18" max="18" width="8.42578125" bestFit="1" customWidth="1"/>
    <col min="20" max="21" width="8.42578125" bestFit="1" customWidth="1"/>
    <col min="22" max="23" width="3.5703125" bestFit="1" customWidth="1"/>
  </cols>
  <sheetData>
    <row r="1" spans="1:23" s="17" customFormat="1" ht="16.5" thickBot="1">
      <c r="A1" s="477" t="s">
        <v>315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</row>
    <row r="2" spans="1:23" ht="150" thickBot="1">
      <c r="A2" s="381"/>
      <c r="B2" s="271" t="s">
        <v>1129</v>
      </c>
      <c r="C2" s="584"/>
      <c r="D2" s="271" t="s">
        <v>929</v>
      </c>
      <c r="E2" s="271" t="s">
        <v>930</v>
      </c>
      <c r="F2" s="271" t="s">
        <v>931</v>
      </c>
      <c r="G2" s="271" t="s">
        <v>932</v>
      </c>
      <c r="H2" s="271" t="s">
        <v>640</v>
      </c>
      <c r="I2" s="271" t="s">
        <v>160</v>
      </c>
      <c r="J2" s="271" t="s">
        <v>933</v>
      </c>
      <c r="K2" s="271" t="s">
        <v>1852</v>
      </c>
      <c r="L2" s="279"/>
    </row>
    <row r="3" spans="1:23" ht="60.75" thickBot="1">
      <c r="A3" s="514" t="s">
        <v>137</v>
      </c>
      <c r="B3" s="342"/>
      <c r="C3" s="284"/>
      <c r="D3" s="589" t="s">
        <v>934</v>
      </c>
      <c r="E3" s="589" t="s">
        <v>740</v>
      </c>
      <c r="F3" s="589" t="s">
        <v>935</v>
      </c>
      <c r="G3" s="589" t="s">
        <v>1745</v>
      </c>
      <c r="H3" s="589" t="s">
        <v>936</v>
      </c>
      <c r="I3" s="589" t="s">
        <v>937</v>
      </c>
      <c r="J3" s="589" t="s">
        <v>740</v>
      </c>
      <c r="K3" s="342"/>
      <c r="L3" s="279"/>
    </row>
    <row r="4" spans="1:23" s="18" customFormat="1" ht="15.75" thickBot="1">
      <c r="A4" s="328"/>
      <c r="B4" s="585"/>
      <c r="C4" s="246" t="s">
        <v>1012</v>
      </c>
      <c r="D4" s="371" t="s">
        <v>1013</v>
      </c>
      <c r="E4" s="371" t="s">
        <v>1014</v>
      </c>
      <c r="F4" s="371" t="s">
        <v>1015</v>
      </c>
      <c r="G4" s="587" t="s">
        <v>1016</v>
      </c>
      <c r="H4" s="371" t="s">
        <v>525</v>
      </c>
      <c r="I4" s="587" t="s">
        <v>526</v>
      </c>
      <c r="J4" s="371" t="s">
        <v>1415</v>
      </c>
      <c r="K4" s="247" t="s">
        <v>1118</v>
      </c>
      <c r="L4" s="142"/>
    </row>
    <row r="5" spans="1:23" ht="15.75" thickBot="1">
      <c r="A5" s="365" t="s">
        <v>1485</v>
      </c>
      <c r="B5" s="65" t="s">
        <v>938</v>
      </c>
      <c r="C5" s="66">
        <v>7100</v>
      </c>
      <c r="D5" s="943">
        <v>115</v>
      </c>
      <c r="E5" s="943">
        <v>115</v>
      </c>
      <c r="F5" s="943">
        <v>115</v>
      </c>
      <c r="G5" s="943">
        <v>115</v>
      </c>
      <c r="H5" s="943">
        <v>115</v>
      </c>
      <c r="I5" s="943">
        <v>115</v>
      </c>
      <c r="J5" s="931">
        <v>115</v>
      </c>
      <c r="K5" s="941">
        <f>SUM(D5:J5)</f>
        <v>805</v>
      </c>
      <c r="L5" s="279"/>
    </row>
    <row r="6" spans="1:23" ht="15.75" thickBot="1">
      <c r="A6" s="588" t="s">
        <v>1148</v>
      </c>
      <c r="B6" s="65" t="s">
        <v>939</v>
      </c>
      <c r="C6" s="68">
        <v>7110</v>
      </c>
      <c r="D6" s="943">
        <v>10</v>
      </c>
      <c r="E6" s="943">
        <v>10</v>
      </c>
      <c r="F6" s="943">
        <v>10</v>
      </c>
      <c r="G6" s="943">
        <v>10</v>
      </c>
      <c r="H6" s="943">
        <v>10</v>
      </c>
      <c r="I6" s="943">
        <v>10</v>
      </c>
      <c r="J6" s="931">
        <v>10</v>
      </c>
      <c r="K6" s="941">
        <f t="shared" ref="K6:K13" si="0">SUM(D6:J6)</f>
        <v>70</v>
      </c>
      <c r="L6" s="279"/>
    </row>
    <row r="7" spans="1:23" ht="15.75" thickBot="1">
      <c r="A7" s="588" t="s">
        <v>940</v>
      </c>
      <c r="B7" s="65" t="s">
        <v>941</v>
      </c>
      <c r="C7" s="68">
        <v>7120</v>
      </c>
      <c r="D7" s="943">
        <v>10</v>
      </c>
      <c r="E7" s="943">
        <v>10</v>
      </c>
      <c r="F7" s="943">
        <v>10</v>
      </c>
      <c r="G7" s="943">
        <v>10</v>
      </c>
      <c r="H7" s="943">
        <v>10</v>
      </c>
      <c r="I7" s="943">
        <v>10</v>
      </c>
      <c r="J7" s="931">
        <v>10</v>
      </c>
      <c r="K7" s="941">
        <f t="shared" si="0"/>
        <v>70</v>
      </c>
      <c r="L7" s="279"/>
    </row>
    <row r="8" spans="1:23" ht="30.75" thickBot="1">
      <c r="A8" s="588" t="s">
        <v>942</v>
      </c>
      <c r="B8" s="65" t="s">
        <v>943</v>
      </c>
      <c r="C8" s="68">
        <v>7130</v>
      </c>
      <c r="D8" s="943">
        <v>13</v>
      </c>
      <c r="E8" s="943">
        <v>12</v>
      </c>
      <c r="F8" s="943">
        <v>12</v>
      </c>
      <c r="G8" s="943">
        <v>12</v>
      </c>
      <c r="H8" s="943">
        <v>12</v>
      </c>
      <c r="I8" s="943">
        <v>12</v>
      </c>
      <c r="J8" s="931">
        <v>12</v>
      </c>
      <c r="K8" s="941">
        <f t="shared" si="0"/>
        <v>85</v>
      </c>
      <c r="L8" s="279"/>
    </row>
    <row r="9" spans="1:23" ht="30.75" thickBot="1">
      <c r="A9" s="588" t="s">
        <v>2499</v>
      </c>
      <c r="B9" s="65" t="s">
        <v>740</v>
      </c>
      <c r="C9" s="68">
        <v>7140</v>
      </c>
      <c r="D9" s="943">
        <v>10</v>
      </c>
      <c r="E9" s="943">
        <v>10</v>
      </c>
      <c r="F9" s="943">
        <v>10</v>
      </c>
      <c r="G9" s="943">
        <v>10</v>
      </c>
      <c r="H9" s="943">
        <v>10</v>
      </c>
      <c r="I9" s="943">
        <v>10</v>
      </c>
      <c r="J9" s="931">
        <v>10</v>
      </c>
      <c r="K9" s="941">
        <f t="shared" si="0"/>
        <v>70</v>
      </c>
      <c r="L9" s="279"/>
    </row>
    <row r="10" spans="1:23" ht="45.75" thickBot="1">
      <c r="A10" s="588" t="s">
        <v>1401</v>
      </c>
      <c r="B10" s="65" t="s">
        <v>1402</v>
      </c>
      <c r="C10" s="68">
        <v>7150</v>
      </c>
      <c r="D10" s="943">
        <v>10</v>
      </c>
      <c r="E10" s="943">
        <v>10</v>
      </c>
      <c r="F10" s="943">
        <v>10</v>
      </c>
      <c r="G10" s="943">
        <v>10</v>
      </c>
      <c r="H10" s="943">
        <v>10</v>
      </c>
      <c r="I10" s="943">
        <v>10</v>
      </c>
      <c r="J10" s="931">
        <v>10</v>
      </c>
      <c r="K10" s="941">
        <f t="shared" si="0"/>
        <v>70</v>
      </c>
      <c r="L10" s="279"/>
    </row>
    <row r="11" spans="1:23" ht="15.75" thickBot="1">
      <c r="A11" s="588" t="s">
        <v>1403</v>
      </c>
      <c r="B11" s="65" t="s">
        <v>740</v>
      </c>
      <c r="C11" s="68">
        <v>7160</v>
      </c>
      <c r="D11" s="943">
        <v>10</v>
      </c>
      <c r="E11" s="943">
        <v>10</v>
      </c>
      <c r="F11" s="943">
        <v>10</v>
      </c>
      <c r="G11" s="943">
        <v>10</v>
      </c>
      <c r="H11" s="943">
        <v>10</v>
      </c>
      <c r="I11" s="943">
        <v>10</v>
      </c>
      <c r="J11" s="931">
        <v>10</v>
      </c>
      <c r="K11" s="941">
        <f t="shared" si="0"/>
        <v>70</v>
      </c>
      <c r="L11" s="279"/>
    </row>
    <row r="12" spans="1:23" ht="15.75" thickBot="1">
      <c r="A12" s="588" t="s">
        <v>146</v>
      </c>
      <c r="B12" s="65" t="s">
        <v>740</v>
      </c>
      <c r="C12" s="68">
        <v>7170</v>
      </c>
      <c r="D12" s="943">
        <v>10</v>
      </c>
      <c r="E12" s="943">
        <v>10</v>
      </c>
      <c r="F12" s="943">
        <v>10</v>
      </c>
      <c r="G12" s="943">
        <v>10</v>
      </c>
      <c r="H12" s="943">
        <v>10</v>
      </c>
      <c r="I12" s="943">
        <v>10</v>
      </c>
      <c r="J12" s="931">
        <v>10</v>
      </c>
      <c r="K12" s="941">
        <f t="shared" si="0"/>
        <v>70</v>
      </c>
      <c r="L12" s="279"/>
    </row>
    <row r="13" spans="1:23" ht="15.75" thickBot="1">
      <c r="A13" s="365" t="s">
        <v>1511</v>
      </c>
      <c r="B13" s="65" t="s">
        <v>1404</v>
      </c>
      <c r="C13" s="70">
        <v>7180</v>
      </c>
      <c r="D13" s="941">
        <f>D5+D6-D7-D8+D9+D10+D11+D12</f>
        <v>142</v>
      </c>
      <c r="E13" s="941">
        <f t="shared" ref="E13:J13" si="1">E5+E6-E7-E8+E9+E10+E11+E12</f>
        <v>143</v>
      </c>
      <c r="F13" s="941">
        <f t="shared" si="1"/>
        <v>143</v>
      </c>
      <c r="G13" s="941">
        <f t="shared" si="1"/>
        <v>143</v>
      </c>
      <c r="H13" s="941">
        <f t="shared" si="1"/>
        <v>143</v>
      </c>
      <c r="I13" s="941">
        <f t="shared" si="1"/>
        <v>143</v>
      </c>
      <c r="J13" s="941">
        <f t="shared" si="1"/>
        <v>143</v>
      </c>
      <c r="K13" s="964">
        <f t="shared" si="0"/>
        <v>1000</v>
      </c>
      <c r="L13" s="279"/>
    </row>
    <row r="14" spans="1:23">
      <c r="K14" s="965">
        <f>K13-'1.2'!E15</f>
        <v>0</v>
      </c>
      <c r="M14" s="94"/>
      <c r="N14" s="97"/>
      <c r="O14" s="98"/>
      <c r="P14" s="94"/>
      <c r="Q14" s="89"/>
      <c r="R14" s="94"/>
      <c r="S14" s="94"/>
      <c r="T14" s="94"/>
      <c r="U14" s="89"/>
      <c r="V14" s="94"/>
      <c r="W14" s="94"/>
    </row>
    <row r="15" spans="1:23" s="12" customFormat="1">
      <c r="A15" s="41"/>
      <c r="B15" s="45"/>
    </row>
    <row r="18" spans="1:8" s="12" customFormat="1" ht="13.5">
      <c r="A18" s="41"/>
      <c r="B18" s="45"/>
      <c r="C18" s="37">
        <v>10</v>
      </c>
      <c r="D18" s="28" t="b">
        <f>D13=D5+D6-D7-D8+D9+D10+D11+D12</f>
        <v>1</v>
      </c>
      <c r="E18" s="29" t="s">
        <v>649</v>
      </c>
    </row>
    <row r="19" spans="1:8" s="12" customFormat="1" ht="13.5">
      <c r="A19" s="41"/>
      <c r="B19" s="45"/>
      <c r="C19" s="37">
        <v>20</v>
      </c>
      <c r="D19" s="28" t="b">
        <f>E13=E5+E6-E7-E8+E9+E10+E11+E12</f>
        <v>1</v>
      </c>
      <c r="E19" s="29" t="s">
        <v>650</v>
      </c>
    </row>
    <row r="20" spans="1:8" s="12" customFormat="1" ht="13.5">
      <c r="A20" s="41"/>
      <c r="B20" s="45"/>
      <c r="C20" s="37">
        <v>30</v>
      </c>
      <c r="D20" s="28" t="b">
        <f>F13=F5+F6-F7-F8+F9+F10+F11+F12</f>
        <v>1</v>
      </c>
      <c r="E20" s="29" t="s">
        <v>651</v>
      </c>
      <c r="F20" s="798"/>
      <c r="G20" s="798"/>
      <c r="H20" s="798"/>
    </row>
    <row r="21" spans="1:8" s="12" customFormat="1" ht="13.5">
      <c r="A21" s="41"/>
      <c r="B21" s="45"/>
      <c r="C21" s="27">
        <v>40</v>
      </c>
      <c r="D21" s="28" t="b">
        <f>G13=G5+G6-G7-G8+G9+G10+G11+G12</f>
        <v>1</v>
      </c>
      <c r="E21" s="29" t="s">
        <v>652</v>
      </c>
      <c r="F21" s="798"/>
      <c r="G21" s="798"/>
      <c r="H21" s="798"/>
    </row>
    <row r="22" spans="1:8" s="12" customFormat="1" ht="13.5">
      <c r="A22" s="41"/>
      <c r="B22" s="45"/>
      <c r="C22" s="27">
        <v>50</v>
      </c>
      <c r="D22" s="28" t="b">
        <f>H13=H5+H6-H7-H8+H9+H10+H11+H12</f>
        <v>1</v>
      </c>
      <c r="E22" s="29" t="s">
        <v>653</v>
      </c>
      <c r="F22" s="798"/>
      <c r="G22" s="798"/>
      <c r="H22" s="798"/>
    </row>
    <row r="23" spans="1:8" s="12" customFormat="1" ht="13.5">
      <c r="A23" s="41"/>
      <c r="B23" s="45"/>
      <c r="C23" s="27">
        <v>60</v>
      </c>
      <c r="D23" s="28" t="b">
        <f>I13=I5+I6-I7-I8+I9+I10+I11+I12</f>
        <v>1</v>
      </c>
      <c r="E23" s="29" t="s">
        <v>195</v>
      </c>
      <c r="F23" s="798"/>
      <c r="G23" s="798"/>
      <c r="H23" s="798"/>
    </row>
    <row r="24" spans="1:8" s="12" customFormat="1" ht="13.5">
      <c r="A24" s="41"/>
      <c r="B24" s="45"/>
      <c r="C24" s="27">
        <v>70</v>
      </c>
      <c r="D24" s="28" t="b">
        <f>J13=J5+J6-J7-J8+J9+J10+J11+J12</f>
        <v>1</v>
      </c>
      <c r="E24" s="29" t="s">
        <v>196</v>
      </c>
      <c r="F24" s="798"/>
      <c r="G24" s="798"/>
      <c r="H24" s="798"/>
    </row>
    <row r="25" spans="1:8" s="12" customFormat="1" ht="13.5">
      <c r="A25" s="41"/>
      <c r="B25" s="45"/>
      <c r="C25" s="27">
        <v>80</v>
      </c>
      <c r="D25" s="28" t="b">
        <f>K13=K5+K6-K7-K8+K9+K10+K11+K12</f>
        <v>1</v>
      </c>
      <c r="E25" s="29" t="s">
        <v>197</v>
      </c>
      <c r="F25" s="798"/>
      <c r="G25" s="798"/>
      <c r="H25" s="798"/>
    </row>
    <row r="26" spans="1:8" s="12" customFormat="1" ht="13.5">
      <c r="A26" s="41"/>
      <c r="B26" s="45"/>
      <c r="C26" s="27">
        <v>90</v>
      </c>
      <c r="D26" s="28" t="b">
        <f>K5=SUM(D5:J5)</f>
        <v>1</v>
      </c>
      <c r="E26" s="29" t="s">
        <v>198</v>
      </c>
    </row>
    <row r="27" spans="1:8" s="12" customFormat="1" ht="13.5">
      <c r="A27" s="41"/>
      <c r="B27" s="45"/>
      <c r="C27" s="27">
        <v>100</v>
      </c>
      <c r="D27" s="28" t="b">
        <f t="shared" ref="D27:D34" si="2">K6=SUM(D6:J6)</f>
        <v>1</v>
      </c>
      <c r="E27" s="29" t="s">
        <v>199</v>
      </c>
    </row>
    <row r="28" spans="1:8" s="12" customFormat="1" ht="13.5">
      <c r="A28" s="41"/>
      <c r="B28" s="45"/>
      <c r="C28" s="27">
        <v>110</v>
      </c>
      <c r="D28" s="28" t="b">
        <f t="shared" si="2"/>
        <v>1</v>
      </c>
      <c r="E28" s="29" t="s">
        <v>200</v>
      </c>
    </row>
    <row r="29" spans="1:8" s="12" customFormat="1" ht="13.5">
      <c r="A29" s="41"/>
      <c r="B29" s="45"/>
      <c r="C29" s="27">
        <v>120</v>
      </c>
      <c r="D29" s="28" t="b">
        <f t="shared" si="2"/>
        <v>1</v>
      </c>
      <c r="E29" s="29" t="s">
        <v>201</v>
      </c>
    </row>
    <row r="30" spans="1:8" s="12" customFormat="1" ht="13.5">
      <c r="A30" s="41"/>
      <c r="B30" s="45"/>
      <c r="C30" s="27">
        <v>130</v>
      </c>
      <c r="D30" s="28" t="b">
        <f t="shared" si="2"/>
        <v>1</v>
      </c>
      <c r="E30" s="29" t="s">
        <v>202</v>
      </c>
    </row>
    <row r="31" spans="1:8" s="12" customFormat="1" ht="13.5">
      <c r="A31" s="41"/>
      <c r="B31" s="45"/>
      <c r="C31" s="27">
        <v>140</v>
      </c>
      <c r="D31" s="28" t="b">
        <f t="shared" si="2"/>
        <v>1</v>
      </c>
      <c r="E31" s="29" t="s">
        <v>203</v>
      </c>
    </row>
    <row r="32" spans="1:8" s="12" customFormat="1" ht="13.5">
      <c r="A32" s="41"/>
      <c r="B32" s="45"/>
      <c r="C32" s="27">
        <v>150</v>
      </c>
      <c r="D32" s="28" t="b">
        <f t="shared" si="2"/>
        <v>1</v>
      </c>
      <c r="E32" s="29" t="s">
        <v>204</v>
      </c>
    </row>
    <row r="33" spans="1:5" s="12" customFormat="1" ht="13.5">
      <c r="A33" s="41"/>
      <c r="B33" s="45"/>
      <c r="C33" s="27">
        <v>160</v>
      </c>
      <c r="D33" s="28" t="b">
        <f t="shared" si="2"/>
        <v>1</v>
      </c>
      <c r="E33" s="29" t="s">
        <v>205</v>
      </c>
    </row>
    <row r="34" spans="1:5" s="12" customFormat="1" ht="13.5">
      <c r="A34" s="41"/>
      <c r="B34" s="45"/>
      <c r="C34" s="27">
        <v>170</v>
      </c>
      <c r="D34" s="28" t="b">
        <f t="shared" si="2"/>
        <v>1</v>
      </c>
      <c r="E34" s="29" t="s">
        <v>206</v>
      </c>
    </row>
    <row r="35" spans="1:5" s="12" customFormat="1" ht="13.5">
      <c r="A35" s="41"/>
      <c r="B35" s="45"/>
      <c r="C35" s="27">
        <v>180</v>
      </c>
      <c r="D35" s="28" t="b">
        <f>K13='1.2'!E15</f>
        <v>1</v>
      </c>
      <c r="E35" s="29" t="s">
        <v>207</v>
      </c>
    </row>
  </sheetData>
  <customSheetViews>
    <customSheetView guid="{5D819D0C-25F7-408A-B978-F4F86F7655CA}" showPageBreaks="1" showRuler="0">
      <selection activeCell="A23" sqref="A23"/>
      <colBreaks count="2" manualBreakCount="2">
        <brk id="11" max="1048575" man="1"/>
        <brk id="28" max="1048575" man="1"/>
      </colBreaks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colBreaks count="1" manualBreakCount="1">
        <brk id="11" max="1048575" man="1"/>
      </colBreaks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colBreaks count="1" manualBreakCount="1">
        <brk id="11" max="1048575" man="1"/>
      </colBreaks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8" right="0.26" top="1" bottom="1" header="0.5" footer="0.5"/>
  <pageSetup paperSize="8" scale="120" orientation="landscape" r:id="rId4"/>
  <headerFooter alignWithMargins="0">
    <oddHeader>&amp;C25.0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23"/>
  <sheetViews>
    <sheetView showGridLines="0" workbookViewId="0"/>
  </sheetViews>
  <sheetFormatPr defaultRowHeight="12.75"/>
  <cols>
    <col min="1" max="1" width="50.42578125" customWidth="1"/>
    <col min="2" max="3" width="10.42578125" customWidth="1"/>
    <col min="4" max="4" width="9.85546875" customWidth="1"/>
  </cols>
  <sheetData>
    <row r="1" spans="1:14" s="5" customFormat="1" ht="16.5" thickBot="1">
      <c r="A1" s="477" t="s">
        <v>2091</v>
      </c>
      <c r="B1" s="590"/>
      <c r="C1" s="590"/>
      <c r="D1" s="279"/>
    </row>
    <row r="2" spans="1:14" ht="14.25" customHeight="1">
      <c r="A2" s="1219"/>
      <c r="B2" s="1221" t="s">
        <v>137</v>
      </c>
      <c r="C2" s="591"/>
      <c r="D2" s="1221" t="s">
        <v>1673</v>
      </c>
    </row>
    <row r="3" spans="1:14" ht="60.75" customHeight="1" thickBot="1">
      <c r="A3" s="1220"/>
      <c r="B3" s="1222"/>
      <c r="C3" s="592"/>
      <c r="D3" s="1222"/>
    </row>
    <row r="4" spans="1:14" s="19" customFormat="1" ht="15.75" thickBot="1">
      <c r="A4" s="593"/>
      <c r="B4" s="594"/>
      <c r="C4" s="452" t="s">
        <v>1012</v>
      </c>
      <c r="D4" s="387" t="s">
        <v>1013</v>
      </c>
    </row>
    <row r="5" spans="1:14" ht="15.75" thickBot="1">
      <c r="A5" s="298" t="s">
        <v>573</v>
      </c>
      <c r="B5" s="595" t="s">
        <v>1405</v>
      </c>
      <c r="C5" s="66">
        <v>7100</v>
      </c>
      <c r="D5" s="931">
        <v>170</v>
      </c>
    </row>
    <row r="6" spans="1:14" ht="15.75" thickBot="1">
      <c r="A6" s="298" t="s">
        <v>1406</v>
      </c>
      <c r="B6" s="595" t="s">
        <v>1407</v>
      </c>
      <c r="C6" s="68">
        <v>7110</v>
      </c>
      <c r="D6" s="931">
        <v>80</v>
      </c>
    </row>
    <row r="7" spans="1:14" ht="15.75" thickBot="1">
      <c r="A7" s="298" t="s">
        <v>1408</v>
      </c>
      <c r="B7" s="595" t="s">
        <v>576</v>
      </c>
      <c r="C7" s="68">
        <v>7120</v>
      </c>
      <c r="D7" s="931">
        <v>75</v>
      </c>
    </row>
    <row r="8" spans="1:14" ht="15.75" thickBot="1">
      <c r="A8" s="298" t="s">
        <v>1409</v>
      </c>
      <c r="B8" s="595" t="s">
        <v>163</v>
      </c>
      <c r="C8" s="68">
        <v>7130</v>
      </c>
      <c r="D8" s="931">
        <v>75</v>
      </c>
    </row>
    <row r="9" spans="1:14" ht="30.75" thickBot="1">
      <c r="A9" s="298" t="s">
        <v>164</v>
      </c>
      <c r="B9" s="595">
        <v>261</v>
      </c>
      <c r="C9" s="68">
        <v>7140</v>
      </c>
      <c r="D9" s="931">
        <v>25</v>
      </c>
    </row>
    <row r="10" spans="1:14" ht="15.75" thickBot="1">
      <c r="A10" s="298" t="s">
        <v>620</v>
      </c>
      <c r="B10" s="595">
        <v>262</v>
      </c>
      <c r="C10" s="68">
        <v>7150</v>
      </c>
      <c r="D10" s="931">
        <v>25</v>
      </c>
    </row>
    <row r="11" spans="1:14" ht="15.75" thickBot="1">
      <c r="A11" s="298" t="s">
        <v>2269</v>
      </c>
      <c r="B11" s="595">
        <v>242</v>
      </c>
      <c r="C11" s="68">
        <v>7160</v>
      </c>
      <c r="D11" s="931">
        <v>25</v>
      </c>
    </row>
    <row r="12" spans="1:14" ht="15.75" thickBot="1">
      <c r="A12" s="298" t="s">
        <v>1591</v>
      </c>
      <c r="B12" s="595" t="s">
        <v>740</v>
      </c>
      <c r="C12" s="68">
        <v>7170</v>
      </c>
      <c r="D12" s="931">
        <v>25</v>
      </c>
    </row>
    <row r="13" spans="1:14" ht="15.75" thickBot="1">
      <c r="A13" s="573" t="s">
        <v>1059</v>
      </c>
      <c r="B13" s="459"/>
      <c r="C13" s="306">
        <v>7999</v>
      </c>
      <c r="D13" s="966">
        <f>SUM(D5:D12)</f>
        <v>500</v>
      </c>
    </row>
    <row r="14" spans="1:14">
      <c r="D14" s="829">
        <f>D13-'1.2'!E19</f>
        <v>0</v>
      </c>
    </row>
    <row r="15" spans="1:14" s="12" customFormat="1" ht="13.5">
      <c r="A15" s="41"/>
      <c r="B15" s="45"/>
      <c r="C15" s="37">
        <v>10</v>
      </c>
      <c r="D15" s="28" t="b">
        <f>D13=SUM(D5:D12)</f>
        <v>1</v>
      </c>
      <c r="E15" s="29" t="s">
        <v>208</v>
      </c>
      <c r="F15" s="41"/>
      <c r="G15" s="41"/>
      <c r="H15" s="41"/>
      <c r="I15" s="41"/>
      <c r="J15" s="41"/>
      <c r="K15" s="41"/>
      <c r="L15" s="41"/>
      <c r="M15" s="41"/>
      <c r="N15" s="41"/>
    </row>
    <row r="16" spans="1:14" s="12" customFormat="1" ht="13.5">
      <c r="A16" s="800"/>
      <c r="B16" s="45"/>
      <c r="C16" s="37">
        <v>20</v>
      </c>
      <c r="D16" s="28"/>
      <c r="E16" s="29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12" customFormat="1" ht="13.5">
      <c r="A17" s="41"/>
      <c r="B17" s="45"/>
      <c r="C17" s="37">
        <v>30</v>
      </c>
      <c r="D17" s="28" t="b">
        <f>D13='1.2'!E19</f>
        <v>1</v>
      </c>
      <c r="E17" s="28" t="s">
        <v>209</v>
      </c>
      <c r="F17" s="28"/>
      <c r="G17" s="28"/>
      <c r="H17" s="28"/>
      <c r="I17" s="28"/>
      <c r="J17" s="41"/>
      <c r="K17" s="41"/>
      <c r="L17" s="41"/>
      <c r="M17" s="41"/>
      <c r="N17" s="41"/>
    </row>
    <row r="18" spans="1:14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3" spans="1:14">
      <c r="G23" s="2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A2:A3"/>
    <mergeCell ref="D2:D3"/>
    <mergeCell ref="B2:B3"/>
  </mergeCells>
  <phoneticPr fontId="0" type="noConversion"/>
  <pageMargins left="0.75" right="0.75" top="1" bottom="1" header="0.5" footer="0.5"/>
  <pageSetup paperSize="8" scale="210" orientation="landscape" r:id="rId4"/>
  <headerFooter alignWithMargins="0">
    <oddHeader>&amp;C26.0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/>
  </sheetViews>
  <sheetFormatPr defaultRowHeight="12.75"/>
  <cols>
    <col min="1" max="1" width="36.140625" customWidth="1"/>
    <col min="2" max="2" width="20.7109375" customWidth="1"/>
    <col min="3" max="3" width="9.28515625" customWidth="1"/>
  </cols>
  <sheetData>
    <row r="1" spans="1:4" s="5" customFormat="1" ht="16.5" thickBot="1">
      <c r="A1" s="477" t="s">
        <v>1891</v>
      </c>
      <c r="B1" s="279"/>
      <c r="C1" s="279"/>
      <c r="D1" s="279"/>
    </row>
    <row r="2" spans="1:4" ht="15" customHeight="1">
      <c r="A2" s="1223"/>
      <c r="B2" s="1221" t="s">
        <v>137</v>
      </c>
      <c r="C2" s="596"/>
      <c r="D2" s="1221" t="s">
        <v>1673</v>
      </c>
    </row>
    <row r="3" spans="1:4" ht="63.75" customHeight="1" thickBot="1">
      <c r="A3" s="1224"/>
      <c r="B3" s="1222"/>
      <c r="C3" s="366"/>
      <c r="D3" s="1222"/>
    </row>
    <row r="4" spans="1:4" s="2" customFormat="1" ht="15.75" thickBot="1">
      <c r="A4" s="597"/>
      <c r="B4" s="599"/>
      <c r="C4" s="341" t="s">
        <v>1012</v>
      </c>
      <c r="D4" s="283" t="s">
        <v>1013</v>
      </c>
    </row>
    <row r="5" spans="1:4" ht="15.75" thickBot="1">
      <c r="A5" s="442" t="s">
        <v>2270</v>
      </c>
      <c r="B5" s="421" t="s">
        <v>1738</v>
      </c>
      <c r="C5" s="342"/>
      <c r="D5" s="283"/>
    </row>
    <row r="6" spans="1:4" ht="18" customHeight="1" thickBot="1">
      <c r="A6" s="298" t="s">
        <v>2271</v>
      </c>
      <c r="B6" s="417" t="s">
        <v>2092</v>
      </c>
      <c r="C6" s="360">
        <v>7110</v>
      </c>
      <c r="D6" s="910">
        <f>+D7+D8+D9</f>
        <v>60</v>
      </c>
    </row>
    <row r="7" spans="1:4" ht="18" customHeight="1" thickBot="1">
      <c r="A7" s="598" t="s">
        <v>2272</v>
      </c>
      <c r="B7" s="417" t="s">
        <v>2093</v>
      </c>
      <c r="C7" s="360">
        <v>7120</v>
      </c>
      <c r="D7" s="911">
        <v>20</v>
      </c>
    </row>
    <row r="8" spans="1:4" ht="18" customHeight="1" thickBot="1">
      <c r="A8" s="598" t="s">
        <v>2273</v>
      </c>
      <c r="B8" s="417" t="s">
        <v>2094</v>
      </c>
      <c r="C8" s="360">
        <v>7130</v>
      </c>
      <c r="D8" s="911">
        <v>20</v>
      </c>
    </row>
    <row r="9" spans="1:4" ht="16.5" customHeight="1" thickBot="1">
      <c r="A9" s="598" t="s">
        <v>1591</v>
      </c>
      <c r="B9" s="417" t="s">
        <v>2095</v>
      </c>
      <c r="C9" s="360">
        <v>7140</v>
      </c>
      <c r="D9" s="911">
        <v>20</v>
      </c>
    </row>
    <row r="10" spans="1:4" ht="15.75" thickBot="1">
      <c r="A10" s="298" t="s">
        <v>2274</v>
      </c>
      <c r="B10" s="417" t="s">
        <v>1738</v>
      </c>
      <c r="C10" s="360">
        <v>7150</v>
      </c>
      <c r="D10" s="911">
        <v>20</v>
      </c>
    </row>
    <row r="11" spans="1:4" ht="15.75" thickBot="1">
      <c r="A11" s="298" t="s">
        <v>2275</v>
      </c>
      <c r="B11" s="417" t="s">
        <v>1738</v>
      </c>
      <c r="C11" s="360">
        <v>7160</v>
      </c>
      <c r="D11" s="910">
        <f>+D12+D13+D14</f>
        <v>55</v>
      </c>
    </row>
    <row r="12" spans="1:4" ht="15.75" thickBot="1">
      <c r="A12" s="598" t="s">
        <v>2276</v>
      </c>
      <c r="B12" s="417" t="s">
        <v>2096</v>
      </c>
      <c r="C12" s="360">
        <v>7170</v>
      </c>
      <c r="D12" s="911">
        <v>20</v>
      </c>
    </row>
    <row r="13" spans="1:4" ht="15.75" thickBot="1">
      <c r="A13" s="598" t="s">
        <v>2277</v>
      </c>
      <c r="B13" s="417" t="s">
        <v>2097</v>
      </c>
      <c r="C13" s="360">
        <v>7180</v>
      </c>
      <c r="D13" s="911">
        <v>20</v>
      </c>
    </row>
    <row r="14" spans="1:4" ht="15.75" thickBot="1">
      <c r="A14" s="598" t="s">
        <v>2278</v>
      </c>
      <c r="B14" s="417" t="s">
        <v>2279</v>
      </c>
      <c r="C14" s="360">
        <v>7190</v>
      </c>
      <c r="D14" s="911">
        <v>15</v>
      </c>
    </row>
    <row r="15" spans="1:4" ht="15.75" thickBot="1">
      <c r="A15" s="298" t="s">
        <v>2280</v>
      </c>
      <c r="B15" s="417" t="s">
        <v>2098</v>
      </c>
      <c r="C15" s="360">
        <v>7200</v>
      </c>
      <c r="D15" s="911">
        <v>20</v>
      </c>
    </row>
    <row r="16" spans="1:4" ht="15.75" thickBot="1">
      <c r="A16" s="298" t="s">
        <v>2281</v>
      </c>
      <c r="B16" s="417" t="s">
        <v>2099</v>
      </c>
      <c r="C16" s="360">
        <v>7210</v>
      </c>
      <c r="D16" s="911">
        <v>10</v>
      </c>
    </row>
    <row r="17" spans="1:4" ht="15.75" thickBot="1">
      <c r="A17" s="298" t="s">
        <v>2282</v>
      </c>
      <c r="B17" s="417" t="s">
        <v>1738</v>
      </c>
      <c r="C17" s="360">
        <v>7220</v>
      </c>
      <c r="D17" s="911">
        <v>15</v>
      </c>
    </row>
    <row r="18" spans="1:4" ht="30.75" thickBot="1">
      <c r="A18" s="298" t="s">
        <v>2283</v>
      </c>
      <c r="B18" s="417" t="s">
        <v>1738</v>
      </c>
      <c r="C18" s="360">
        <v>7230</v>
      </c>
      <c r="D18" s="911">
        <v>15</v>
      </c>
    </row>
    <row r="19" spans="1:4" ht="15.75" thickBot="1">
      <c r="A19" s="298" t="s">
        <v>1591</v>
      </c>
      <c r="B19" s="417" t="s">
        <v>2100</v>
      </c>
      <c r="C19" s="428">
        <v>7240</v>
      </c>
      <c r="D19" s="911">
        <v>5</v>
      </c>
    </row>
    <row r="20" spans="1:4" ht="15.75" thickBot="1">
      <c r="A20" s="453" t="s">
        <v>1059</v>
      </c>
      <c r="B20" s="421" t="s">
        <v>1738</v>
      </c>
      <c r="C20" s="341">
        <v>7299</v>
      </c>
      <c r="D20" s="982">
        <f>+D6+D10+D11+D15+D16+D17+D18+D19</f>
        <v>200</v>
      </c>
    </row>
    <row r="21" spans="1:4" ht="15.75" thickBot="1">
      <c r="A21" s="442" t="s">
        <v>2284</v>
      </c>
      <c r="B21" s="421" t="s">
        <v>2285</v>
      </c>
      <c r="C21" s="342"/>
      <c r="D21" s="983"/>
    </row>
    <row r="22" spans="1:4" ht="30.75" thickBot="1">
      <c r="A22" s="298" t="s">
        <v>2286</v>
      </c>
      <c r="B22" s="417" t="s">
        <v>2101</v>
      </c>
      <c r="C22" s="360">
        <v>7310</v>
      </c>
      <c r="D22" s="911">
        <v>20</v>
      </c>
    </row>
    <row r="23" spans="1:4" ht="15.75" thickBot="1">
      <c r="A23" s="298" t="s">
        <v>2277</v>
      </c>
      <c r="B23" s="417" t="s">
        <v>2102</v>
      </c>
      <c r="C23" s="360">
        <v>7320</v>
      </c>
      <c r="D23" s="911">
        <v>20</v>
      </c>
    </row>
    <row r="24" spans="1:4" ht="15.75" thickBot="1">
      <c r="A24" s="298" t="s">
        <v>2274</v>
      </c>
      <c r="B24" s="417" t="s">
        <v>1738</v>
      </c>
      <c r="C24" s="360">
        <v>7330</v>
      </c>
      <c r="D24" s="911">
        <v>20</v>
      </c>
    </row>
    <row r="25" spans="1:4" ht="15.75" thickBot="1">
      <c r="A25" s="298" t="s">
        <v>1890</v>
      </c>
      <c r="B25" s="417" t="s">
        <v>2103</v>
      </c>
      <c r="C25" s="360">
        <v>7340</v>
      </c>
      <c r="D25" s="911">
        <v>20</v>
      </c>
    </row>
    <row r="26" spans="1:4" ht="15.75" thickBot="1">
      <c r="A26" s="298" t="s">
        <v>1591</v>
      </c>
      <c r="B26" s="417" t="s">
        <v>1738</v>
      </c>
      <c r="C26" s="428">
        <v>7350</v>
      </c>
      <c r="D26" s="911">
        <v>20</v>
      </c>
    </row>
    <row r="27" spans="1:4" ht="15.75" thickBot="1">
      <c r="A27" s="429" t="s">
        <v>1059</v>
      </c>
      <c r="B27" s="421" t="s">
        <v>1738</v>
      </c>
      <c r="C27" s="341">
        <v>7999</v>
      </c>
      <c r="D27" s="910">
        <f>SUM(D22:D26)</f>
        <v>100</v>
      </c>
    </row>
    <row r="28" spans="1:4">
      <c r="D28" s="829">
        <f>D20-'2.0'!E31</f>
        <v>0</v>
      </c>
    </row>
    <row r="29" spans="1:4">
      <c r="D29" s="829">
        <f>D27-'2.0'!E32</f>
        <v>0</v>
      </c>
    </row>
    <row r="30" spans="1:4" s="12" customFormat="1" ht="13.5">
      <c r="A30" s="41"/>
      <c r="B30" s="37">
        <v>10</v>
      </c>
      <c r="C30" s="28" t="b">
        <f>D20=D6+D10+D11+SUM(D15:D19)</f>
        <v>1</v>
      </c>
      <c r="D30" s="29" t="s">
        <v>210</v>
      </c>
    </row>
    <row r="31" spans="1:4" s="12" customFormat="1" ht="13.5">
      <c r="A31" s="41"/>
      <c r="B31" s="37">
        <v>20</v>
      </c>
      <c r="C31" s="28" t="b">
        <f>D27=SUM(D22:D26)</f>
        <v>1</v>
      </c>
      <c r="D31" s="29" t="s">
        <v>211</v>
      </c>
    </row>
    <row r="32" spans="1:4" s="12" customFormat="1" ht="13.5">
      <c r="A32" s="41"/>
      <c r="B32" s="27">
        <v>30</v>
      </c>
      <c r="C32" s="28" t="b">
        <f>D6=SUM(D7:D9)</f>
        <v>1</v>
      </c>
      <c r="D32" s="29" t="s">
        <v>212</v>
      </c>
    </row>
    <row r="33" spans="1:4" s="12" customFormat="1" ht="13.5">
      <c r="A33" s="41"/>
      <c r="B33" s="27">
        <v>40</v>
      </c>
      <c r="C33" s="28" t="b">
        <f>D11=SUM(D12:D14)</f>
        <v>1</v>
      </c>
      <c r="D33" s="29" t="s">
        <v>213</v>
      </c>
    </row>
    <row r="34" spans="1:4" s="12" customFormat="1" ht="13.5">
      <c r="A34" s="41"/>
      <c r="B34" s="27">
        <v>50</v>
      </c>
      <c r="C34" s="28" t="b">
        <f>D20='2.0'!E31</f>
        <v>1</v>
      </c>
      <c r="D34" s="29" t="s">
        <v>214</v>
      </c>
    </row>
    <row r="35" spans="1:4" s="12" customFormat="1" ht="13.5">
      <c r="A35" s="41"/>
      <c r="B35" s="27">
        <v>60</v>
      </c>
      <c r="C35" s="28" t="b">
        <f>D27='2.0'!E32</f>
        <v>1</v>
      </c>
      <c r="D35" s="29" t="s">
        <v>215</v>
      </c>
    </row>
    <row r="36" spans="1:4">
      <c r="C36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3">
    <mergeCell ref="A2:A3"/>
    <mergeCell ref="D2:D3"/>
    <mergeCell ref="B2:B3"/>
  </mergeCells>
  <phoneticPr fontId="0" type="noConversion"/>
  <pageMargins left="0.75" right="0.75" top="1" bottom="1" header="0.5" footer="0.5"/>
  <pageSetup paperSize="8" scale="155" orientation="portrait" r:id="rId4"/>
  <headerFooter alignWithMargins="0">
    <oddHeader>&amp;C27.0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Normal="100" workbookViewId="0"/>
  </sheetViews>
  <sheetFormatPr defaultRowHeight="12.75"/>
  <cols>
    <col min="1" max="1" width="40.140625" customWidth="1"/>
    <col min="2" max="2" width="17.7109375" customWidth="1"/>
    <col min="3" max="3" width="7.28515625" customWidth="1"/>
    <col min="4" max="4" width="9.28515625" customWidth="1"/>
    <col min="5" max="5" width="9.42578125" customWidth="1"/>
    <col min="6" max="6" width="9.28515625" customWidth="1"/>
    <col min="10" max="10" width="17.7109375" customWidth="1"/>
  </cols>
  <sheetData>
    <row r="1" spans="1:8" ht="16.5" thickBot="1">
      <c r="A1" s="477" t="s">
        <v>1897</v>
      </c>
      <c r="B1" s="279"/>
      <c r="C1" s="279"/>
      <c r="D1" s="279"/>
      <c r="E1" s="279"/>
      <c r="F1" s="279"/>
      <c r="G1" s="279"/>
      <c r="H1" s="279"/>
    </row>
    <row r="2" spans="1:8" ht="89.25" customHeight="1" thickBot="1">
      <c r="A2" s="280"/>
      <c r="B2" s="271" t="s">
        <v>1117</v>
      </c>
      <c r="C2" s="368"/>
      <c r="D2" s="271" t="s">
        <v>1892</v>
      </c>
      <c r="E2" s="271" t="s">
        <v>1893</v>
      </c>
      <c r="F2" s="271" t="s">
        <v>1894</v>
      </c>
      <c r="G2" s="279"/>
      <c r="H2" s="279"/>
    </row>
    <row r="3" spans="1:8" s="2" customFormat="1" ht="15.75" customHeight="1" thickBot="1">
      <c r="A3" s="601"/>
      <c r="B3" s="349"/>
      <c r="C3" s="341" t="s">
        <v>1012</v>
      </c>
      <c r="D3" s="541" t="s">
        <v>1013</v>
      </c>
      <c r="E3" s="541" t="s">
        <v>1014</v>
      </c>
      <c r="F3" s="541" t="s">
        <v>1015</v>
      </c>
      <c r="G3" s="542"/>
      <c r="H3" s="542"/>
    </row>
    <row r="4" spans="1:8" ht="30.75" thickBot="1">
      <c r="A4" s="298" t="s">
        <v>1101</v>
      </c>
      <c r="B4" s="602" t="s">
        <v>1895</v>
      </c>
      <c r="C4" s="603">
        <v>7100</v>
      </c>
      <c r="D4" s="911">
        <v>50</v>
      </c>
      <c r="E4" s="911">
        <v>30</v>
      </c>
      <c r="F4" s="910">
        <f>+D4-E4</f>
        <v>20</v>
      </c>
      <c r="G4" s="279"/>
      <c r="H4" s="279"/>
    </row>
    <row r="5" spans="1:8" ht="30.75" thickBot="1">
      <c r="A5" s="298" t="s">
        <v>1103</v>
      </c>
      <c r="B5" s="602" t="s">
        <v>2104</v>
      </c>
      <c r="C5" s="604">
        <v>7110</v>
      </c>
      <c r="D5" s="911">
        <v>50</v>
      </c>
      <c r="E5" s="911">
        <v>30</v>
      </c>
      <c r="F5" s="910">
        <f>+D5-E5</f>
        <v>20</v>
      </c>
      <c r="G5" s="279"/>
      <c r="H5" s="279"/>
    </row>
    <row r="6" spans="1:8" ht="30.75" thickBot="1">
      <c r="A6" s="298" t="s">
        <v>349</v>
      </c>
      <c r="B6" s="602" t="s">
        <v>2105</v>
      </c>
      <c r="C6" s="604">
        <v>7120</v>
      </c>
      <c r="D6" s="911">
        <v>50</v>
      </c>
      <c r="E6" s="911">
        <v>30</v>
      </c>
      <c r="F6" s="910">
        <f>+D6-E6</f>
        <v>20</v>
      </c>
      <c r="G6" s="279"/>
      <c r="H6" s="279"/>
    </row>
    <row r="7" spans="1:8" ht="30.75" thickBot="1">
      <c r="A7" s="298" t="s">
        <v>1399</v>
      </c>
      <c r="B7" s="602" t="s">
        <v>2106</v>
      </c>
      <c r="C7" s="604">
        <v>7130</v>
      </c>
      <c r="D7" s="911">
        <v>50</v>
      </c>
      <c r="E7" s="911">
        <v>30</v>
      </c>
      <c r="F7" s="910">
        <f>+D7-E7</f>
        <v>20</v>
      </c>
      <c r="G7" s="279"/>
      <c r="H7" s="279"/>
    </row>
    <row r="8" spans="1:8" ht="15.75" thickBot="1">
      <c r="A8" s="298" t="s">
        <v>1742</v>
      </c>
      <c r="B8" s="417" t="s">
        <v>1896</v>
      </c>
      <c r="C8" s="605">
        <v>7140</v>
      </c>
      <c r="D8" s="911">
        <v>50</v>
      </c>
      <c r="E8" s="911">
        <v>30</v>
      </c>
      <c r="F8" s="910">
        <f>+D8-E8</f>
        <v>20</v>
      </c>
      <c r="G8" s="279"/>
      <c r="H8" s="279"/>
    </row>
    <row r="9" spans="1:8" ht="15.75" thickBot="1">
      <c r="A9" s="429" t="s">
        <v>1059</v>
      </c>
      <c r="B9" s="341"/>
      <c r="C9" s="341">
        <v>7999</v>
      </c>
      <c r="D9" s="910">
        <f>SUM(D4:D8)</f>
        <v>250</v>
      </c>
      <c r="E9" s="910">
        <f>SUM(E4:E8)</f>
        <v>150</v>
      </c>
      <c r="F9" s="910">
        <f>SUM(F4:F8)</f>
        <v>100</v>
      </c>
      <c r="G9" s="279"/>
      <c r="H9" s="279"/>
    </row>
    <row r="10" spans="1:8" ht="15">
      <c r="A10" s="279"/>
      <c r="B10" s="279"/>
      <c r="C10" s="279"/>
      <c r="D10" s="279"/>
      <c r="E10" s="279"/>
      <c r="F10" s="984">
        <f>F9-'2.0'!E33</f>
        <v>0</v>
      </c>
      <c r="G10" s="279"/>
      <c r="H10" s="279"/>
    </row>
    <row r="12" spans="1:8" s="12" customFormat="1" ht="13.5">
      <c r="A12" s="41"/>
      <c r="B12" s="45"/>
      <c r="C12" s="37">
        <v>10</v>
      </c>
      <c r="D12" s="28" t="b">
        <f>D9=SUM(D4:D8)</f>
        <v>1</v>
      </c>
      <c r="E12" s="29" t="s">
        <v>216</v>
      </c>
    </row>
    <row r="13" spans="1:8" s="12" customFormat="1" ht="13.5">
      <c r="A13" s="41"/>
      <c r="B13" s="45"/>
      <c r="C13" s="37">
        <v>20</v>
      </c>
      <c r="D13" s="28" t="b">
        <f>E9=SUM(E4:E8)</f>
        <v>1</v>
      </c>
      <c r="E13" s="29" t="s">
        <v>217</v>
      </c>
    </row>
    <row r="14" spans="1:8" s="12" customFormat="1" ht="13.5">
      <c r="A14" s="41"/>
      <c r="B14" s="45"/>
      <c r="C14" s="37">
        <v>30</v>
      </c>
      <c r="D14" s="28" t="b">
        <f>F9=SUM(F4:F8)</f>
        <v>1</v>
      </c>
      <c r="E14" s="29" t="s">
        <v>218</v>
      </c>
    </row>
    <row r="15" spans="1:8" s="12" customFormat="1" ht="13.5">
      <c r="A15" s="41"/>
      <c r="B15" s="45"/>
      <c r="C15" s="37">
        <v>40</v>
      </c>
      <c r="D15" s="28" t="b">
        <f t="shared" ref="D15:D20" si="0">F4=D4-E4</f>
        <v>1</v>
      </c>
      <c r="E15" s="29" t="s">
        <v>219</v>
      </c>
    </row>
    <row r="16" spans="1:8" s="12" customFormat="1" ht="13.5">
      <c r="A16" s="41"/>
      <c r="B16" s="45"/>
      <c r="C16" s="37">
        <v>50</v>
      </c>
      <c r="D16" s="28" t="b">
        <f t="shared" si="0"/>
        <v>1</v>
      </c>
      <c r="E16" s="29" t="s">
        <v>220</v>
      </c>
    </row>
    <row r="17" spans="1:8" s="12" customFormat="1" ht="13.5">
      <c r="A17" s="41"/>
      <c r="B17" s="45"/>
      <c r="C17" s="37">
        <v>60</v>
      </c>
      <c r="D17" s="28" t="b">
        <f t="shared" si="0"/>
        <v>1</v>
      </c>
      <c r="E17" s="29" t="s">
        <v>221</v>
      </c>
    </row>
    <row r="18" spans="1:8" s="12" customFormat="1" ht="13.5">
      <c r="A18" s="41"/>
      <c r="B18" s="45"/>
      <c r="C18" s="37">
        <v>70</v>
      </c>
      <c r="D18" s="28" t="b">
        <f t="shared" si="0"/>
        <v>1</v>
      </c>
      <c r="E18" s="29" t="s">
        <v>222</v>
      </c>
    </row>
    <row r="19" spans="1:8" s="12" customFormat="1" ht="13.5">
      <c r="A19" s="41"/>
      <c r="B19" s="45"/>
      <c r="C19" s="37">
        <v>80</v>
      </c>
      <c r="D19" s="28" t="b">
        <f t="shared" si="0"/>
        <v>1</v>
      </c>
      <c r="E19" s="29" t="s">
        <v>702</v>
      </c>
    </row>
    <row r="20" spans="1:8" s="12" customFormat="1" ht="13.5">
      <c r="A20" s="41"/>
      <c r="B20" s="45"/>
      <c r="C20" s="37">
        <v>90</v>
      </c>
      <c r="D20" s="28" t="b">
        <f t="shared" si="0"/>
        <v>1</v>
      </c>
      <c r="E20" s="29" t="s">
        <v>703</v>
      </c>
    </row>
    <row r="21" spans="1:8" s="12" customFormat="1" ht="13.5">
      <c r="A21" s="41"/>
      <c r="B21" s="45"/>
      <c r="C21" s="37">
        <v>100</v>
      </c>
      <c r="D21" s="28" t="b">
        <f>F4='2.0'!E34</f>
        <v>1</v>
      </c>
      <c r="E21" s="29" t="s">
        <v>704</v>
      </c>
      <c r="F21" s="41"/>
      <c r="G21" s="41"/>
      <c r="H21" s="41"/>
    </row>
    <row r="22" spans="1:8" ht="13.5">
      <c r="C22" s="37">
        <v>110</v>
      </c>
      <c r="D22" s="28" t="b">
        <f>F5='2.0'!E34</f>
        <v>1</v>
      </c>
      <c r="E22" s="29" t="s">
        <v>705</v>
      </c>
    </row>
    <row r="23" spans="1:8" ht="13.5">
      <c r="C23" s="37">
        <v>120</v>
      </c>
      <c r="D23" s="28" t="b">
        <f>F6='2.0'!E35</f>
        <v>1</v>
      </c>
      <c r="E23" s="29" t="s">
        <v>706</v>
      </c>
    </row>
    <row r="24" spans="1:8" ht="13.5">
      <c r="C24" s="37">
        <v>130</v>
      </c>
      <c r="D24" s="28" t="b">
        <f>F7='2.0'!E36</f>
        <v>1</v>
      </c>
      <c r="E24" s="29" t="s">
        <v>707</v>
      </c>
    </row>
    <row r="25" spans="1:8" ht="13.5">
      <c r="C25" s="37">
        <v>140</v>
      </c>
      <c r="D25" s="28" t="b">
        <f>F8='2.0'!E37</f>
        <v>1</v>
      </c>
      <c r="E25" s="29" t="s">
        <v>708</v>
      </c>
    </row>
    <row r="26" spans="1:8" ht="13.5">
      <c r="C26" s="37">
        <v>150</v>
      </c>
      <c r="D26" s="28" t="b">
        <f>F9='2.0'!E32</f>
        <v>1</v>
      </c>
      <c r="E26" s="29" t="s">
        <v>709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35" orientation="landscape" r:id="rId4"/>
  <headerFooter alignWithMargins="0">
    <oddHeader>&amp;C28.0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Normal="100" workbookViewId="0"/>
  </sheetViews>
  <sheetFormatPr defaultRowHeight="12.75"/>
  <cols>
    <col min="1" max="1" width="30.140625" customWidth="1"/>
    <col min="2" max="2" width="14.42578125" customWidth="1"/>
    <col min="3" max="3" width="11.42578125" customWidth="1"/>
    <col min="4" max="4" width="9.85546875" customWidth="1"/>
    <col min="5" max="5" width="9.7109375" customWidth="1"/>
    <col min="6" max="6" width="10" customWidth="1"/>
    <col min="7" max="7" width="10.140625" customWidth="1"/>
    <col min="9" max="9" width="38.140625" customWidth="1"/>
  </cols>
  <sheetData>
    <row r="1" spans="1:8" s="5" customFormat="1" ht="16.5" thickBot="1">
      <c r="A1" s="477" t="s">
        <v>1903</v>
      </c>
      <c r="B1" s="279"/>
      <c r="C1" s="279"/>
      <c r="D1" s="279"/>
      <c r="E1" s="279"/>
      <c r="F1" s="279"/>
      <c r="G1" s="279"/>
    </row>
    <row r="2" spans="1:8" ht="111" customHeight="1" thickBot="1">
      <c r="A2" s="55"/>
      <c r="B2" s="271" t="s">
        <v>1117</v>
      </c>
      <c r="C2" s="600"/>
      <c r="D2" s="271" t="s">
        <v>1898</v>
      </c>
      <c r="E2" s="271" t="s">
        <v>1899</v>
      </c>
      <c r="F2" s="271" t="s">
        <v>1894</v>
      </c>
      <c r="G2" s="271" t="s">
        <v>1900</v>
      </c>
    </row>
    <row r="3" spans="1:8" ht="15.75" thickBot="1">
      <c r="A3" s="479"/>
      <c r="B3" s="585"/>
      <c r="C3" s="342" t="s">
        <v>1012</v>
      </c>
      <c r="D3" s="606" t="s">
        <v>1013</v>
      </c>
      <c r="E3" s="606" t="s">
        <v>1014</v>
      </c>
      <c r="F3" s="606" t="s">
        <v>1015</v>
      </c>
      <c r="G3" s="606" t="s">
        <v>1016</v>
      </c>
      <c r="H3" s="20"/>
    </row>
    <row r="4" spans="1:8" ht="34.5" customHeight="1" thickBot="1">
      <c r="A4" s="483" t="s">
        <v>1901</v>
      </c>
      <c r="B4" s="482" t="s">
        <v>1904</v>
      </c>
      <c r="C4" s="332">
        <v>7100</v>
      </c>
      <c r="D4" s="985">
        <v>100</v>
      </c>
      <c r="E4" s="985">
        <v>50</v>
      </c>
      <c r="F4" s="962">
        <f>D4-E4</f>
        <v>50</v>
      </c>
      <c r="G4" s="986"/>
    </row>
    <row r="5" spans="1:8" ht="32.25" customHeight="1" thickBot="1">
      <c r="A5" s="483" t="s">
        <v>1397</v>
      </c>
      <c r="B5" s="482" t="s">
        <v>1904</v>
      </c>
      <c r="C5" s="250">
        <v>7110</v>
      </c>
      <c r="D5" s="985">
        <v>100</v>
      </c>
      <c r="E5" s="985">
        <v>50</v>
      </c>
      <c r="F5" s="962">
        <f>D5-E5</f>
        <v>50</v>
      </c>
      <c r="G5" s="985">
        <v>12</v>
      </c>
    </row>
    <row r="6" spans="1:8" ht="15.75" thickBot="1">
      <c r="A6" s="460" t="s">
        <v>1902</v>
      </c>
      <c r="B6" s="607"/>
      <c r="C6" s="246">
        <v>7120</v>
      </c>
      <c r="D6" s="987">
        <f>SUM(D4:D5)</f>
        <v>200</v>
      </c>
      <c r="E6" s="987">
        <f>SUM(E4:E5)</f>
        <v>100</v>
      </c>
      <c r="F6" s="987">
        <f>SUM(F4:F5)</f>
        <v>100</v>
      </c>
      <c r="G6" s="987">
        <f>SUM(G4:G5)</f>
        <v>12</v>
      </c>
    </row>
    <row r="7" spans="1:8">
      <c r="F7" s="829">
        <f>F6-'2.0'!E46</f>
        <v>0</v>
      </c>
    </row>
    <row r="9" spans="1:8" s="1134" customFormat="1" ht="13.5">
      <c r="A9" s="1139"/>
      <c r="B9" s="37"/>
      <c r="C9" s="37">
        <v>10</v>
      </c>
      <c r="D9" s="28" t="b">
        <f>D6=D4+D5</f>
        <v>1</v>
      </c>
      <c r="E9" s="29" t="s">
        <v>710</v>
      </c>
      <c r="F9" s="1139"/>
      <c r="G9" s="1139"/>
      <c r="H9" s="1139"/>
    </row>
    <row r="10" spans="1:8" s="1134" customFormat="1" ht="13.5">
      <c r="A10" s="1139"/>
      <c r="B10" s="37"/>
      <c r="C10" s="37">
        <v>20</v>
      </c>
      <c r="D10" s="28" t="b">
        <f>E6=E4+E5</f>
        <v>1</v>
      </c>
      <c r="E10" s="29" t="s">
        <v>711</v>
      </c>
      <c r="F10" s="1139"/>
      <c r="G10" s="1139"/>
      <c r="H10" s="1139"/>
    </row>
    <row r="11" spans="1:8" s="1134" customFormat="1" ht="13.5">
      <c r="A11" s="1139"/>
      <c r="B11" s="37"/>
      <c r="C11" s="37">
        <v>30</v>
      </c>
      <c r="D11" s="28" t="b">
        <f>F6=F4+F5</f>
        <v>1</v>
      </c>
      <c r="E11" s="29" t="s">
        <v>712</v>
      </c>
      <c r="F11" s="1139"/>
      <c r="G11" s="1139"/>
      <c r="H11" s="1139"/>
    </row>
    <row r="12" spans="1:8" s="1134" customFormat="1" ht="13.5">
      <c r="A12" s="1139"/>
      <c r="B12" s="37"/>
      <c r="C12" s="37">
        <v>40</v>
      </c>
      <c r="D12" s="28" t="b">
        <f>F4=D4-E4</f>
        <v>1</v>
      </c>
      <c r="E12" s="29" t="s">
        <v>713</v>
      </c>
      <c r="F12" s="1139"/>
      <c r="G12" s="1139"/>
      <c r="H12" s="1139"/>
    </row>
    <row r="13" spans="1:8" s="1134" customFormat="1" ht="13.5">
      <c r="A13" s="1139"/>
      <c r="B13" s="37"/>
      <c r="C13" s="37">
        <v>50</v>
      </c>
      <c r="D13" s="28" t="b">
        <f>F5=D5-E5</f>
        <v>1</v>
      </c>
      <c r="E13" s="29" t="s">
        <v>714</v>
      </c>
      <c r="F13" s="1139"/>
      <c r="G13" s="1139"/>
      <c r="H13" s="1139"/>
    </row>
    <row r="14" spans="1:8" s="1134" customFormat="1" ht="13.5">
      <c r="A14" s="1139"/>
      <c r="B14" s="37"/>
      <c r="C14" s="37">
        <v>60</v>
      </c>
      <c r="D14" s="28" t="b">
        <f>F6=D6-E6</f>
        <v>1</v>
      </c>
      <c r="E14" s="29" t="s">
        <v>715</v>
      </c>
      <c r="F14" s="1139"/>
      <c r="G14" s="1139"/>
      <c r="H14" s="1139"/>
    </row>
    <row r="15" spans="1:8" s="1134" customFormat="1" ht="13.5">
      <c r="A15" s="1139"/>
      <c r="B15" s="37"/>
      <c r="C15" s="37">
        <v>70</v>
      </c>
      <c r="D15" s="28" t="b">
        <f>F6='2.0'!E46</f>
        <v>1</v>
      </c>
      <c r="E15" s="29" t="s">
        <v>716</v>
      </c>
      <c r="F15" s="1139"/>
      <c r="G15" s="1139"/>
      <c r="H15" s="1139"/>
    </row>
    <row r="16" spans="1:8" s="1134" customFormat="1" ht="13.5">
      <c r="A16" s="1139"/>
      <c r="B16" s="1139"/>
      <c r="C16" s="1181">
        <v>80</v>
      </c>
      <c r="D16" s="1114" t="b">
        <f>G6=G5</f>
        <v>1</v>
      </c>
      <c r="E16" s="1181" t="s">
        <v>456</v>
      </c>
      <c r="F16" s="1139"/>
      <c r="G16" s="1139"/>
      <c r="H16" s="1139"/>
    </row>
  </sheetData>
  <customSheetViews>
    <customSheetView guid="{5D819D0C-25F7-408A-B978-F4F86F7655CA}" showPageBreaks="1" showRuler="0"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55" orientation="landscape" r:id="rId4"/>
  <headerFooter alignWithMargins="0">
    <oddHeader>&amp;C29.0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Normal="100" workbookViewId="0"/>
  </sheetViews>
  <sheetFormatPr defaultRowHeight="12.75"/>
  <cols>
    <col min="1" max="1" width="44.5703125" bestFit="1" customWidth="1"/>
    <col min="2" max="2" width="13" customWidth="1"/>
    <col min="3" max="3" width="8.28515625" customWidth="1"/>
    <col min="4" max="4" width="10.7109375" customWidth="1"/>
    <col min="5" max="5" width="10" customWidth="1"/>
    <col min="6" max="6" width="10.42578125" customWidth="1"/>
    <col min="12" max="12" width="55.5703125" customWidth="1"/>
  </cols>
  <sheetData>
    <row r="1" spans="1:6" s="17" customFormat="1" ht="16.5" thickBot="1">
      <c r="A1" s="477" t="s">
        <v>1170</v>
      </c>
      <c r="B1" s="52"/>
      <c r="C1" s="583"/>
      <c r="D1" s="583"/>
      <c r="E1" s="583"/>
      <c r="F1" s="583"/>
    </row>
    <row r="2" spans="1:6" ht="48.75" customHeight="1" thickBot="1">
      <c r="A2" s="243"/>
      <c r="B2" s="271" t="s">
        <v>137</v>
      </c>
      <c r="C2" s="608"/>
      <c r="D2" s="271" t="s">
        <v>1898</v>
      </c>
      <c r="E2" s="271" t="s">
        <v>1899</v>
      </c>
      <c r="F2" s="271" t="s">
        <v>1894</v>
      </c>
    </row>
    <row r="3" spans="1:6" ht="15.75" thickBot="1">
      <c r="A3" s="609"/>
      <c r="B3" s="610"/>
      <c r="C3" s="341" t="s">
        <v>1012</v>
      </c>
      <c r="D3" s="541" t="s">
        <v>1013</v>
      </c>
      <c r="E3" s="541" t="s">
        <v>1014</v>
      </c>
      <c r="F3" s="541" t="s">
        <v>1015</v>
      </c>
    </row>
    <row r="4" spans="1:6" ht="15.75" thickBot="1">
      <c r="A4" s="442" t="s">
        <v>1122</v>
      </c>
      <c r="B4" s="421" t="s">
        <v>1905</v>
      </c>
      <c r="C4" s="606">
        <v>7100</v>
      </c>
      <c r="D4" s="961">
        <f>SUM(D5:D6)</f>
        <v>100</v>
      </c>
      <c r="E4" s="961">
        <f>SUM(E5:E6)</f>
        <v>70</v>
      </c>
      <c r="F4" s="961">
        <f>D4-E4</f>
        <v>30</v>
      </c>
    </row>
    <row r="5" spans="1:6" ht="30.75" thickBot="1">
      <c r="A5" s="611" t="s">
        <v>2520</v>
      </c>
      <c r="B5" s="417" t="s">
        <v>2521</v>
      </c>
      <c r="C5" s="612">
        <v>7110</v>
      </c>
      <c r="D5" s="988">
        <v>50</v>
      </c>
      <c r="E5" s="988">
        <v>35</v>
      </c>
      <c r="F5" s="961">
        <f>D5-E5</f>
        <v>15</v>
      </c>
    </row>
    <row r="6" spans="1:6" ht="30.75" thickBot="1">
      <c r="A6" s="611" t="s">
        <v>2522</v>
      </c>
      <c r="B6" s="417" t="s">
        <v>2523</v>
      </c>
      <c r="C6" s="612">
        <v>7120</v>
      </c>
      <c r="D6" s="988">
        <v>50</v>
      </c>
      <c r="E6" s="988">
        <v>35</v>
      </c>
      <c r="F6" s="961">
        <f>D6-E6</f>
        <v>15</v>
      </c>
    </row>
    <row r="7" spans="1:6" ht="15.75" thickBot="1">
      <c r="A7" s="442" t="s">
        <v>1125</v>
      </c>
      <c r="B7" s="421" t="s">
        <v>2524</v>
      </c>
      <c r="C7" s="612"/>
      <c r="D7" s="989"/>
      <c r="E7" s="989"/>
      <c r="F7" s="989"/>
    </row>
    <row r="8" spans="1:6" ht="30.75" thickBot="1">
      <c r="A8" s="611" t="s">
        <v>2525</v>
      </c>
      <c r="B8" s="417" t="s">
        <v>2526</v>
      </c>
      <c r="C8" s="612">
        <v>7140</v>
      </c>
      <c r="D8" s="988">
        <v>50</v>
      </c>
      <c r="E8" s="988">
        <v>35</v>
      </c>
      <c r="F8" s="961">
        <f>D8-E8</f>
        <v>15</v>
      </c>
    </row>
    <row r="9" spans="1:6" ht="16.5" customHeight="1" thickBot="1">
      <c r="A9" s="442" t="s">
        <v>2527</v>
      </c>
      <c r="B9" s="421" t="s">
        <v>2528</v>
      </c>
      <c r="C9" s="612"/>
      <c r="D9" s="989"/>
      <c r="E9" s="989"/>
      <c r="F9" s="989"/>
    </row>
    <row r="10" spans="1:6" ht="30.75" thickBot="1">
      <c r="A10" s="611" t="s">
        <v>2525</v>
      </c>
      <c r="B10" s="417" t="s">
        <v>2529</v>
      </c>
      <c r="C10" s="612">
        <v>7160</v>
      </c>
      <c r="D10" s="988">
        <v>50</v>
      </c>
      <c r="E10" s="988">
        <v>35</v>
      </c>
      <c r="F10" s="961">
        <f>D10-E10</f>
        <v>15</v>
      </c>
    </row>
    <row r="11" spans="1:6" ht="15.75" thickBot="1">
      <c r="A11" s="442" t="s">
        <v>2530</v>
      </c>
      <c r="B11" s="421" t="s">
        <v>1130</v>
      </c>
      <c r="C11" s="612">
        <v>7170</v>
      </c>
      <c r="D11" s="961">
        <f>SUM(D12:D13)</f>
        <v>100</v>
      </c>
      <c r="E11" s="961">
        <f>SUM(E12:E13)</f>
        <v>80</v>
      </c>
      <c r="F11" s="961">
        <f>SUM(F12:F13)</f>
        <v>20</v>
      </c>
    </row>
    <row r="12" spans="1:6" ht="30.75" thickBot="1">
      <c r="A12" s="611" t="s">
        <v>2531</v>
      </c>
      <c r="B12" s="417" t="s">
        <v>2521</v>
      </c>
      <c r="C12" s="612">
        <v>7180</v>
      </c>
      <c r="D12" s="959">
        <v>50</v>
      </c>
      <c r="E12" s="959">
        <v>40</v>
      </c>
      <c r="F12" s="961">
        <f>D12-E12</f>
        <v>10</v>
      </c>
    </row>
    <row r="13" spans="1:6" ht="30.75" thickBot="1">
      <c r="A13" s="611" t="s">
        <v>2532</v>
      </c>
      <c r="B13" s="417" t="s">
        <v>1165</v>
      </c>
      <c r="C13" s="612">
        <v>7190</v>
      </c>
      <c r="D13" s="959">
        <v>50</v>
      </c>
      <c r="E13" s="959">
        <v>40</v>
      </c>
      <c r="F13" s="961">
        <f>D13-E13</f>
        <v>10</v>
      </c>
    </row>
    <row r="14" spans="1:6" ht="15.75" thickBot="1">
      <c r="A14" s="442" t="s">
        <v>1166</v>
      </c>
      <c r="B14" s="421" t="s">
        <v>1167</v>
      </c>
      <c r="C14" s="612"/>
      <c r="D14" s="989"/>
      <c r="E14" s="989"/>
      <c r="F14" s="989"/>
    </row>
    <row r="15" spans="1:6" ht="30.75" thickBot="1">
      <c r="A15" s="611" t="s">
        <v>1168</v>
      </c>
      <c r="B15" s="417" t="s">
        <v>2526</v>
      </c>
      <c r="C15" s="612">
        <v>7210</v>
      </c>
      <c r="D15" s="959">
        <v>50</v>
      </c>
      <c r="E15" s="959">
        <v>40</v>
      </c>
      <c r="F15" s="961">
        <f>D15-E15</f>
        <v>10</v>
      </c>
    </row>
    <row r="16" spans="1:6" ht="30.75" thickBot="1">
      <c r="A16" s="442" t="s">
        <v>1169</v>
      </c>
      <c r="B16" s="615" t="s">
        <v>2107</v>
      </c>
      <c r="C16" s="616">
        <v>7220</v>
      </c>
      <c r="D16" s="957">
        <v>50</v>
      </c>
      <c r="E16" s="957">
        <v>40</v>
      </c>
      <c r="F16" s="961">
        <f>D16-E16</f>
        <v>10</v>
      </c>
    </row>
    <row r="17" spans="1:12" ht="15.75" thickBot="1">
      <c r="A17" s="617" t="s">
        <v>1059</v>
      </c>
      <c r="B17" s="366"/>
      <c r="C17" s="341">
        <v>7999</v>
      </c>
      <c r="D17" s="855">
        <f>SUM(D4,D8,D10,D11,D15,D16)</f>
        <v>400</v>
      </c>
      <c r="E17" s="855">
        <f>SUM(E4,E8,E10,E11,E15,E16)</f>
        <v>300</v>
      </c>
      <c r="F17" s="855">
        <f>SUM(F4,F8,F10,F11,F15,F16)</f>
        <v>100</v>
      </c>
    </row>
    <row r="18" spans="1:12">
      <c r="F18" s="829">
        <f>F17-'2.0'!E47</f>
        <v>0</v>
      </c>
    </row>
    <row r="20" spans="1:12" s="12" customFormat="1" ht="13.5">
      <c r="A20" s="41"/>
      <c r="B20" s="37">
        <v>10</v>
      </c>
      <c r="C20" s="28" t="b">
        <f>D17=D4+D8+D10+D11+D15+D16</f>
        <v>1</v>
      </c>
      <c r="D20" s="29" t="s">
        <v>717</v>
      </c>
      <c r="E20" s="41"/>
      <c r="F20" s="41"/>
      <c r="G20" s="41"/>
      <c r="H20" s="41"/>
      <c r="I20" s="41"/>
      <c r="J20" s="41"/>
      <c r="K20" s="41"/>
      <c r="L20" s="41"/>
    </row>
    <row r="21" spans="1:12" s="12" customFormat="1" ht="13.5">
      <c r="A21" s="41"/>
      <c r="B21" s="37">
        <v>20</v>
      </c>
      <c r="C21" s="28" t="b">
        <f>E17=E4+E8+E10+E11+E15+E16</f>
        <v>1</v>
      </c>
      <c r="D21" s="29" t="s">
        <v>718</v>
      </c>
      <c r="E21" s="41"/>
      <c r="F21" s="41"/>
      <c r="G21" s="41"/>
      <c r="H21" s="41"/>
      <c r="I21" s="41"/>
      <c r="J21" s="41"/>
      <c r="K21" s="41"/>
      <c r="L21" s="41"/>
    </row>
    <row r="22" spans="1:12" s="12" customFormat="1" ht="13.5">
      <c r="A22" s="41"/>
      <c r="B22" s="37">
        <v>30</v>
      </c>
      <c r="C22" s="28" t="b">
        <f>F17=F4+F8+F10+F11+F15+F16</f>
        <v>1</v>
      </c>
      <c r="D22" s="29" t="s">
        <v>719</v>
      </c>
      <c r="E22" s="41"/>
      <c r="F22" s="41"/>
      <c r="G22" s="41"/>
      <c r="H22" s="41"/>
      <c r="I22" s="41"/>
      <c r="J22" s="41"/>
      <c r="K22" s="41"/>
      <c r="L22" s="41"/>
    </row>
    <row r="23" spans="1:12" s="12" customFormat="1" ht="13.5">
      <c r="A23" s="41"/>
      <c r="B23" s="37">
        <v>40</v>
      </c>
      <c r="C23" s="28" t="b">
        <f>D4=D5+D6</f>
        <v>1</v>
      </c>
      <c r="D23" s="29" t="s">
        <v>720</v>
      </c>
      <c r="E23" s="41"/>
      <c r="F23" s="41"/>
      <c r="G23" s="41"/>
      <c r="H23" s="41"/>
      <c r="I23" s="41"/>
      <c r="J23" s="41"/>
      <c r="K23" s="41"/>
      <c r="L23" s="41"/>
    </row>
    <row r="24" spans="1:12" s="12" customFormat="1" ht="13.5">
      <c r="A24" s="41"/>
      <c r="B24" s="37">
        <v>50</v>
      </c>
      <c r="C24" s="28" t="b">
        <f>E4=E5+E6</f>
        <v>1</v>
      </c>
      <c r="D24" s="29" t="s">
        <v>721</v>
      </c>
      <c r="E24" s="41"/>
      <c r="F24" s="41"/>
      <c r="G24" s="41"/>
      <c r="H24" s="41"/>
      <c r="I24" s="41"/>
      <c r="J24" s="41"/>
      <c r="K24" s="41"/>
      <c r="L24" s="41"/>
    </row>
    <row r="25" spans="1:12" s="12" customFormat="1" ht="13.5">
      <c r="A25" s="41"/>
      <c r="B25" s="37">
        <v>60</v>
      </c>
      <c r="C25" s="28" t="b">
        <f>F4=F5+F6</f>
        <v>1</v>
      </c>
      <c r="D25" s="29" t="s">
        <v>722</v>
      </c>
      <c r="E25" s="41"/>
      <c r="F25" s="41"/>
      <c r="G25" s="41"/>
      <c r="H25" s="41"/>
      <c r="I25" s="41"/>
      <c r="J25" s="41"/>
      <c r="K25" s="41"/>
      <c r="L25" s="41"/>
    </row>
    <row r="26" spans="1:12" s="12" customFormat="1" ht="13.5">
      <c r="A26" s="41"/>
      <c r="B26" s="37">
        <v>70</v>
      </c>
      <c r="C26" s="28" t="b">
        <f>D11=D12+D13</f>
        <v>1</v>
      </c>
      <c r="D26" s="29" t="s">
        <v>723</v>
      </c>
      <c r="E26" s="41"/>
      <c r="F26" s="41"/>
      <c r="G26" s="41"/>
      <c r="H26" s="41"/>
      <c r="I26" s="41"/>
      <c r="J26" s="41"/>
      <c r="K26" s="41"/>
      <c r="L26" s="41"/>
    </row>
    <row r="27" spans="1:12" s="12" customFormat="1" ht="13.5">
      <c r="A27" s="41"/>
      <c r="B27" s="37">
        <v>80</v>
      </c>
      <c r="C27" s="28" t="b">
        <f>E11=E12+E13</f>
        <v>1</v>
      </c>
      <c r="D27" s="29" t="s">
        <v>724</v>
      </c>
      <c r="E27" s="41"/>
      <c r="F27" s="41"/>
      <c r="G27" s="41"/>
      <c r="H27" s="41"/>
      <c r="I27" s="41"/>
      <c r="J27" s="41"/>
      <c r="K27" s="41"/>
      <c r="L27" s="41"/>
    </row>
    <row r="28" spans="1:12" s="12" customFormat="1" ht="13.5">
      <c r="A28" s="41"/>
      <c r="B28" s="37">
        <v>90</v>
      </c>
      <c r="C28" s="28" t="b">
        <f>F11=F12+F13</f>
        <v>1</v>
      </c>
      <c r="D28" s="29" t="s">
        <v>725</v>
      </c>
      <c r="E28" s="41"/>
      <c r="F28" s="41"/>
      <c r="G28" s="41"/>
      <c r="H28" s="41"/>
      <c r="I28" s="41"/>
      <c r="J28" s="41"/>
      <c r="K28" s="41"/>
      <c r="L28" s="41"/>
    </row>
    <row r="29" spans="1:12" s="12" customFormat="1" ht="13.5">
      <c r="A29" s="41"/>
      <c r="B29" s="37">
        <v>100</v>
      </c>
      <c r="C29" s="28" t="b">
        <f>F4=D4-E4</f>
        <v>1</v>
      </c>
      <c r="D29" s="77" t="s">
        <v>726</v>
      </c>
      <c r="E29" s="41"/>
      <c r="F29" s="41"/>
      <c r="G29" s="41"/>
      <c r="H29" s="41"/>
      <c r="I29" s="41"/>
      <c r="J29" s="41"/>
      <c r="K29" s="41"/>
      <c r="L29" s="41"/>
    </row>
    <row r="30" spans="1:12" s="12" customFormat="1" ht="13.5">
      <c r="A30" s="41"/>
      <c r="B30" s="37">
        <v>110</v>
      </c>
      <c r="C30" s="28" t="b">
        <f>F5=D5-E5</f>
        <v>1</v>
      </c>
      <c r="D30" s="77" t="s">
        <v>727</v>
      </c>
      <c r="E30" s="41"/>
      <c r="F30" s="41"/>
      <c r="G30" s="41"/>
      <c r="H30" s="41"/>
      <c r="I30" s="41"/>
      <c r="J30" s="41"/>
      <c r="K30" s="41"/>
      <c r="L30" s="41"/>
    </row>
    <row r="31" spans="1:12" s="12" customFormat="1" ht="13.5">
      <c r="A31" s="41"/>
      <c r="B31" s="37">
        <v>120</v>
      </c>
      <c r="C31" s="28" t="b">
        <f>F6=D6-E6</f>
        <v>1</v>
      </c>
      <c r="D31" s="77" t="s">
        <v>728</v>
      </c>
      <c r="E31" s="41"/>
      <c r="F31" s="41"/>
      <c r="G31" s="41"/>
      <c r="H31" s="41"/>
      <c r="I31" s="41"/>
      <c r="J31" s="41"/>
      <c r="K31" s="41"/>
      <c r="L31" s="41"/>
    </row>
    <row r="32" spans="1:12" s="12" customFormat="1" ht="13.5">
      <c r="A32" s="41"/>
      <c r="B32" s="37">
        <v>140</v>
      </c>
      <c r="C32" s="28" t="b">
        <f>F8=D8-E8</f>
        <v>1</v>
      </c>
      <c r="D32" s="77" t="s">
        <v>729</v>
      </c>
      <c r="E32" s="41"/>
      <c r="F32" s="41"/>
      <c r="G32" s="41"/>
      <c r="H32" s="41"/>
      <c r="I32" s="41"/>
      <c r="J32" s="41"/>
      <c r="K32" s="41"/>
      <c r="L32" s="41"/>
    </row>
    <row r="33" spans="1:12" s="12" customFormat="1" ht="13.5">
      <c r="A33" s="41"/>
      <c r="B33" s="37">
        <v>160</v>
      </c>
      <c r="C33" s="28" t="b">
        <f>F10=D10-E10</f>
        <v>1</v>
      </c>
      <c r="D33" s="77" t="s">
        <v>730</v>
      </c>
      <c r="E33" s="41"/>
      <c r="F33" s="41"/>
      <c r="G33" s="41"/>
      <c r="H33" s="41"/>
      <c r="I33" s="41"/>
      <c r="J33" s="41"/>
      <c r="K33" s="41"/>
      <c r="L33" s="41"/>
    </row>
    <row r="34" spans="1:12" s="12" customFormat="1" ht="13.5">
      <c r="A34" s="41"/>
      <c r="B34" s="37">
        <v>170</v>
      </c>
      <c r="C34" s="28" t="b">
        <f>F11=D11-E11</f>
        <v>1</v>
      </c>
      <c r="D34" s="77" t="s">
        <v>731</v>
      </c>
      <c r="E34" s="41"/>
      <c r="F34" s="41"/>
      <c r="G34" s="41"/>
      <c r="H34" s="41"/>
      <c r="I34" s="41"/>
      <c r="J34" s="41"/>
      <c r="K34" s="41"/>
      <c r="L34" s="41"/>
    </row>
    <row r="35" spans="1:12" s="12" customFormat="1" ht="13.5">
      <c r="A35" s="41"/>
      <c r="B35" s="37">
        <v>180</v>
      </c>
      <c r="C35" s="28" t="b">
        <f>F12=D12-E12</f>
        <v>1</v>
      </c>
      <c r="D35" s="77" t="s">
        <v>732</v>
      </c>
      <c r="E35" s="41"/>
      <c r="F35" s="41"/>
      <c r="G35" s="41"/>
      <c r="H35" s="41"/>
      <c r="I35" s="41"/>
      <c r="J35" s="41"/>
      <c r="K35" s="41"/>
      <c r="L35" s="41"/>
    </row>
    <row r="36" spans="1:12" s="12" customFormat="1" ht="13.5">
      <c r="A36" s="41"/>
      <c r="B36" s="37">
        <v>190</v>
      </c>
      <c r="C36" s="28" t="b">
        <f>F13=D13-E13</f>
        <v>1</v>
      </c>
      <c r="D36" s="77" t="s">
        <v>733</v>
      </c>
      <c r="E36" s="41"/>
      <c r="F36" s="41"/>
      <c r="G36" s="41"/>
      <c r="H36" s="41"/>
      <c r="I36" s="41"/>
      <c r="J36" s="41"/>
      <c r="K36" s="41"/>
      <c r="L36" s="41"/>
    </row>
    <row r="37" spans="1:12" s="12" customFormat="1" ht="13.5">
      <c r="A37" s="41"/>
      <c r="B37" s="37">
        <v>210</v>
      </c>
      <c r="C37" s="28" t="b">
        <f>F15=D15-E15</f>
        <v>1</v>
      </c>
      <c r="D37" s="77" t="s">
        <v>734</v>
      </c>
      <c r="E37" s="41"/>
      <c r="F37" s="41"/>
      <c r="G37" s="41"/>
      <c r="H37" s="41"/>
      <c r="I37" s="41"/>
      <c r="J37" s="41"/>
      <c r="K37" s="41"/>
      <c r="L37" s="41"/>
    </row>
    <row r="38" spans="1:12" s="12" customFormat="1" ht="13.5">
      <c r="A38" s="41"/>
      <c r="B38" s="37">
        <v>220</v>
      </c>
      <c r="C38" s="28" t="b">
        <f>F16=D16-E16</f>
        <v>1</v>
      </c>
      <c r="D38" s="77" t="s">
        <v>735</v>
      </c>
      <c r="E38" s="41"/>
      <c r="F38" s="41"/>
      <c r="G38" s="41"/>
      <c r="H38" s="41"/>
      <c r="I38" s="41"/>
      <c r="J38" s="41"/>
      <c r="K38" s="41"/>
      <c r="L38" s="41"/>
    </row>
    <row r="39" spans="1:12" s="12" customFormat="1" ht="13.5">
      <c r="A39" s="41"/>
      <c r="B39" s="37">
        <v>230</v>
      </c>
      <c r="C39" s="28" t="b">
        <f>F17=D17-E17</f>
        <v>1</v>
      </c>
      <c r="D39" s="77" t="s">
        <v>736</v>
      </c>
      <c r="E39" s="41"/>
      <c r="F39" s="41"/>
      <c r="G39" s="41"/>
      <c r="H39" s="41"/>
      <c r="I39" s="41"/>
      <c r="J39" s="41"/>
      <c r="K39" s="41"/>
      <c r="L39" s="41"/>
    </row>
    <row r="40" spans="1:12" s="12" customFormat="1" ht="13.5">
      <c r="A40" s="41"/>
      <c r="B40" s="37">
        <v>240</v>
      </c>
      <c r="C40" s="28" t="b">
        <f>F17='2.0'!E47</f>
        <v>1</v>
      </c>
      <c r="D40" s="29" t="s">
        <v>737</v>
      </c>
      <c r="E40" s="41"/>
      <c r="F40" s="41"/>
      <c r="G40" s="41"/>
      <c r="H40" s="41"/>
      <c r="I40" s="41"/>
      <c r="J40" s="41"/>
      <c r="K40" s="41"/>
      <c r="L40" s="41"/>
    </row>
  </sheetData>
  <customSheetViews>
    <customSheetView guid="{5D819D0C-25F7-408A-B978-F4F86F7655CA}" showPageBreaks="1" showRuler="0" topLeftCell="B1">
      <selection activeCell="B1" sqref="B1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24" right="0.25" top="1" bottom="1" header="0.5" footer="0.5"/>
  <pageSetup paperSize="8" scale="168" orientation="landscape" r:id="rId4"/>
  <headerFooter alignWithMargins="0">
    <oddHeader>&amp;C30.0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Normal="100" workbookViewId="0"/>
  </sheetViews>
  <sheetFormatPr defaultRowHeight="12.75"/>
  <cols>
    <col min="1" max="1" width="47.5703125" customWidth="1"/>
    <col min="2" max="2" width="20" bestFit="1" customWidth="1"/>
    <col min="3" max="3" width="8.140625" customWidth="1"/>
    <col min="4" max="4" width="10.28515625" customWidth="1"/>
    <col min="5" max="5" width="10" customWidth="1"/>
    <col min="6" max="6" width="9.7109375" customWidth="1"/>
    <col min="10" max="10" width="45.28515625" customWidth="1"/>
  </cols>
  <sheetData>
    <row r="1" spans="1:7" s="17" customFormat="1" ht="16.5" thickBot="1">
      <c r="A1" s="477" t="s">
        <v>1176</v>
      </c>
      <c r="B1" s="583"/>
      <c r="C1" s="583"/>
      <c r="D1" s="583"/>
      <c r="E1" s="583"/>
      <c r="F1" s="583"/>
      <c r="G1" s="583"/>
    </row>
    <row r="2" spans="1:7" ht="63.75" customHeight="1" thickBot="1">
      <c r="A2" s="280"/>
      <c r="B2" s="271" t="s">
        <v>2516</v>
      </c>
      <c r="C2" s="368"/>
      <c r="D2" s="271" t="s">
        <v>1898</v>
      </c>
      <c r="E2" s="271" t="s">
        <v>1899</v>
      </c>
      <c r="F2" s="271" t="s">
        <v>1894</v>
      </c>
      <c r="G2" s="279"/>
    </row>
    <row r="3" spans="1:7" ht="15.75" thickBot="1">
      <c r="A3" s="601"/>
      <c r="B3" s="349"/>
      <c r="C3" s="341" t="s">
        <v>1012</v>
      </c>
      <c r="D3" s="283" t="s">
        <v>1013</v>
      </c>
      <c r="E3" s="283" t="s">
        <v>1014</v>
      </c>
      <c r="F3" s="283" t="s">
        <v>1015</v>
      </c>
      <c r="G3" s="279"/>
    </row>
    <row r="4" spans="1:7" ht="15.75" thickBot="1">
      <c r="A4" s="298" t="s">
        <v>112</v>
      </c>
      <c r="B4" s="417" t="s">
        <v>1171</v>
      </c>
      <c r="C4" s="342">
        <v>7100</v>
      </c>
      <c r="D4" s="931">
        <v>80</v>
      </c>
      <c r="E4" s="931">
        <v>55</v>
      </c>
      <c r="F4" s="966">
        <f>D4-E4</f>
        <v>25</v>
      </c>
      <c r="G4" s="279"/>
    </row>
    <row r="5" spans="1:7" ht="15.75" thickBot="1">
      <c r="A5" s="298" t="s">
        <v>1172</v>
      </c>
      <c r="B5" s="417" t="s">
        <v>1173</v>
      </c>
      <c r="C5" s="360">
        <v>7110</v>
      </c>
      <c r="D5" s="931">
        <v>80</v>
      </c>
      <c r="E5" s="931">
        <v>55</v>
      </c>
      <c r="F5" s="966">
        <f>D5-E5</f>
        <v>25</v>
      </c>
      <c r="G5" s="279"/>
    </row>
    <row r="6" spans="1:7" ht="15.75" thickBot="1">
      <c r="A6" s="298" t="s">
        <v>477</v>
      </c>
      <c r="B6" s="618" t="s">
        <v>1174</v>
      </c>
      <c r="C6" s="360">
        <v>7120</v>
      </c>
      <c r="D6" s="931">
        <v>80</v>
      </c>
      <c r="E6" s="931">
        <v>55</v>
      </c>
      <c r="F6" s="966">
        <f>D6-E6</f>
        <v>25</v>
      </c>
      <c r="G6" s="279"/>
    </row>
    <row r="7" spans="1:7" ht="18" customHeight="1" thickBot="1">
      <c r="A7" s="298" t="s">
        <v>1175</v>
      </c>
      <c r="B7" s="417" t="s">
        <v>740</v>
      </c>
      <c r="C7" s="428">
        <v>7130</v>
      </c>
      <c r="D7" s="931">
        <v>80</v>
      </c>
      <c r="E7" s="931">
        <v>55</v>
      </c>
      <c r="F7" s="966">
        <f>D7-E7</f>
        <v>25</v>
      </c>
      <c r="G7" s="279"/>
    </row>
    <row r="8" spans="1:7" ht="15.75" thickBot="1">
      <c r="A8" s="429" t="s">
        <v>1059</v>
      </c>
      <c r="B8" s="619"/>
      <c r="C8" s="341">
        <v>7999</v>
      </c>
      <c r="D8" s="966">
        <f>SUM(D4:D7)</f>
        <v>320</v>
      </c>
      <c r="E8" s="966">
        <f>SUM(E4:E7)</f>
        <v>220</v>
      </c>
      <c r="F8" s="966">
        <f>SUM(F4:F7)</f>
        <v>100</v>
      </c>
      <c r="G8" s="279"/>
    </row>
    <row r="9" spans="1:7" ht="15">
      <c r="A9" s="279"/>
      <c r="B9" s="279"/>
      <c r="C9" s="279"/>
      <c r="D9" s="279"/>
      <c r="E9" s="279"/>
      <c r="F9" s="984">
        <f>F8-'2.0'!E49</f>
        <v>0</v>
      </c>
      <c r="G9" s="279"/>
    </row>
    <row r="10" spans="1:7" ht="15">
      <c r="A10" s="279"/>
      <c r="B10" s="279"/>
      <c r="C10" s="279"/>
      <c r="D10" s="279"/>
      <c r="E10" s="279"/>
      <c r="F10" s="279"/>
      <c r="G10" s="279"/>
    </row>
    <row r="11" spans="1:7">
      <c r="A11" s="80"/>
      <c r="B11" s="80"/>
    </row>
    <row r="12" spans="1:7" s="12" customFormat="1" ht="13.5">
      <c r="A12" s="80"/>
      <c r="B12" s="81"/>
      <c r="C12" s="37">
        <v>10</v>
      </c>
      <c r="D12" s="28" t="b">
        <f>D8=SUM(D4:D7)</f>
        <v>1</v>
      </c>
      <c r="E12" s="29" t="s">
        <v>738</v>
      </c>
    </row>
    <row r="13" spans="1:7" s="12" customFormat="1" ht="13.5">
      <c r="A13" s="80"/>
      <c r="B13" s="81"/>
      <c r="C13" s="37">
        <v>20</v>
      </c>
      <c r="D13" s="28" t="b">
        <f>E8=SUM(E4:E7)</f>
        <v>1</v>
      </c>
      <c r="E13" s="29" t="s">
        <v>272</v>
      </c>
    </row>
    <row r="14" spans="1:7" s="12" customFormat="1" ht="13.5">
      <c r="A14" s="80"/>
      <c r="B14" s="81"/>
      <c r="C14" s="37">
        <v>30</v>
      </c>
      <c r="D14" s="28" t="b">
        <f>F8=SUM(F4:F7)</f>
        <v>1</v>
      </c>
      <c r="E14" s="29" t="s">
        <v>273</v>
      </c>
    </row>
    <row r="15" spans="1:7" s="12" customFormat="1" ht="13.5">
      <c r="A15" s="80"/>
      <c r="B15" s="81"/>
      <c r="C15" s="37">
        <v>40</v>
      </c>
      <c r="D15" s="28" t="b">
        <f>F4=D4-E4</f>
        <v>1</v>
      </c>
      <c r="E15" s="29" t="s">
        <v>274</v>
      </c>
    </row>
    <row r="16" spans="1:7" s="12" customFormat="1" ht="13.5">
      <c r="A16" s="80"/>
      <c r="B16" s="81"/>
      <c r="C16" s="37">
        <v>50</v>
      </c>
      <c r="D16" s="28" t="b">
        <f>F5=D5-E5</f>
        <v>1</v>
      </c>
      <c r="E16" s="29" t="s">
        <v>275</v>
      </c>
    </row>
    <row r="17" spans="1:5" s="12" customFormat="1" ht="13.5">
      <c r="A17" s="80"/>
      <c r="B17" s="81"/>
      <c r="C17" s="37">
        <v>60</v>
      </c>
      <c r="D17" s="28" t="b">
        <f>F6=D6-E6</f>
        <v>1</v>
      </c>
      <c r="E17" s="29" t="s">
        <v>276</v>
      </c>
    </row>
    <row r="18" spans="1:5" s="12" customFormat="1" ht="13.5">
      <c r="A18" s="80"/>
      <c r="B18" s="81"/>
      <c r="C18" s="37">
        <v>70</v>
      </c>
      <c r="D18" s="28" t="b">
        <f>F7=D7-E7</f>
        <v>1</v>
      </c>
      <c r="E18" s="29" t="s">
        <v>277</v>
      </c>
    </row>
    <row r="19" spans="1:5" s="12" customFormat="1" ht="13.5">
      <c r="A19" s="80"/>
      <c r="B19" s="81"/>
      <c r="C19" s="37">
        <v>80</v>
      </c>
      <c r="D19" s="28" t="b">
        <f>F8=D8-E8</f>
        <v>1</v>
      </c>
      <c r="E19" s="29" t="s">
        <v>278</v>
      </c>
    </row>
    <row r="20" spans="1:5" ht="13.5">
      <c r="A20" s="80"/>
      <c r="B20" s="80"/>
      <c r="C20" s="37">
        <v>90</v>
      </c>
      <c r="D20" s="28" t="b">
        <f>'2.0'!E49&gt;='31.0'!F8</f>
        <v>1</v>
      </c>
      <c r="E20" s="29" t="s">
        <v>279</v>
      </c>
    </row>
    <row r="21" spans="1:5">
      <c r="A21" s="80"/>
      <c r="B21" s="80"/>
    </row>
    <row r="22" spans="1:5">
      <c r="A22" s="80"/>
      <c r="B22" s="8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84" orientation="landscape" r:id="rId4"/>
  <headerFooter alignWithMargins="0">
    <oddHeader>&amp;C31.0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="75" zoomScaleNormal="75" zoomScaleSheetLayoutView="100" workbookViewId="0"/>
  </sheetViews>
  <sheetFormatPr defaultRowHeight="12.75"/>
  <cols>
    <col min="1" max="1" width="48.42578125" customWidth="1"/>
    <col min="2" max="2" width="10.7109375" customWidth="1"/>
    <col min="3" max="3" width="9.28515625" bestFit="1" customWidth="1"/>
    <col min="6" max="6" width="48" bestFit="1" customWidth="1"/>
    <col min="7" max="7" width="10.140625" customWidth="1"/>
    <col min="8" max="8" width="6.140625" bestFit="1" customWidth="1"/>
    <col min="9" max="9" width="8.85546875" bestFit="1" customWidth="1"/>
    <col min="11" max="11" width="45.7109375" customWidth="1"/>
  </cols>
  <sheetData>
    <row r="1" spans="1:4" ht="16.5" thickBot="1">
      <c r="A1" s="477" t="s">
        <v>1192</v>
      </c>
      <c r="B1" s="279"/>
      <c r="C1" s="279"/>
      <c r="D1" s="279"/>
    </row>
    <row r="2" spans="1:4" ht="73.5" customHeight="1" thickBot="1">
      <c r="A2" s="340"/>
      <c r="B2" s="271" t="s">
        <v>137</v>
      </c>
      <c r="C2" s="608"/>
      <c r="D2" s="271" t="s">
        <v>1673</v>
      </c>
    </row>
    <row r="3" spans="1:4" s="2" customFormat="1" ht="15.75" thickBot="1">
      <c r="A3" s="315"/>
      <c r="B3" s="620"/>
      <c r="C3" s="341" t="s">
        <v>1012</v>
      </c>
      <c r="D3" s="387" t="s">
        <v>1013</v>
      </c>
    </row>
    <row r="4" spans="1:4" ht="15.75" thickBot="1">
      <c r="A4" s="617" t="s">
        <v>1177</v>
      </c>
      <c r="B4" s="548" t="s">
        <v>740</v>
      </c>
      <c r="C4" s="341">
        <v>7100</v>
      </c>
      <c r="D4" s="966">
        <f>SUM(D5:D6,D10:D11)</f>
        <v>120</v>
      </c>
    </row>
    <row r="5" spans="1:4" ht="18" customHeight="1" thickBot="1">
      <c r="A5" s="441" t="s">
        <v>1178</v>
      </c>
      <c r="B5" s="341" t="s">
        <v>1179</v>
      </c>
      <c r="C5" s="341">
        <v>7110</v>
      </c>
      <c r="D5" s="931">
        <v>60</v>
      </c>
    </row>
    <row r="6" spans="1:4" ht="15.75" thickBot="1">
      <c r="A6" s="441" t="s">
        <v>1172</v>
      </c>
      <c r="B6" s="341"/>
      <c r="C6" s="341">
        <v>7120</v>
      </c>
      <c r="D6" s="966">
        <f>SUM(D7:D9)</f>
        <v>42</v>
      </c>
    </row>
    <row r="7" spans="1:4" ht="15.75" thickBot="1">
      <c r="A7" s="621" t="s">
        <v>1180</v>
      </c>
      <c r="B7" s="341" t="s">
        <v>1181</v>
      </c>
      <c r="C7" s="341">
        <v>7130</v>
      </c>
      <c r="D7" s="931">
        <v>30</v>
      </c>
    </row>
    <row r="8" spans="1:4" ht="75.75" thickBot="1">
      <c r="A8" s="622" t="s">
        <v>1810</v>
      </c>
      <c r="B8" s="320" t="s">
        <v>449</v>
      </c>
      <c r="C8" s="320">
        <v>7140</v>
      </c>
      <c r="D8" s="990"/>
    </row>
    <row r="9" spans="1:4" ht="15.75" thickBot="1">
      <c r="A9" s="621" t="s">
        <v>1182</v>
      </c>
      <c r="B9" s="341" t="s">
        <v>1183</v>
      </c>
      <c r="C9" s="341">
        <v>7150</v>
      </c>
      <c r="D9" s="931">
        <v>12</v>
      </c>
    </row>
    <row r="10" spans="1:4" ht="15.75" thickBot="1">
      <c r="A10" s="441" t="s">
        <v>1184</v>
      </c>
      <c r="B10" s="341" t="s">
        <v>1185</v>
      </c>
      <c r="C10" s="341">
        <v>7160</v>
      </c>
      <c r="D10" s="931">
        <v>8</v>
      </c>
    </row>
    <row r="11" spans="1:4" ht="15.75" thickBot="1">
      <c r="A11" s="441" t="s">
        <v>1591</v>
      </c>
      <c r="B11" s="341" t="s">
        <v>740</v>
      </c>
      <c r="C11" s="341">
        <v>7170</v>
      </c>
      <c r="D11" s="931">
        <v>10</v>
      </c>
    </row>
    <row r="12" spans="1:4" ht="15.75" thickBot="1">
      <c r="A12" s="617" t="s">
        <v>1186</v>
      </c>
      <c r="B12" s="548" t="s">
        <v>740</v>
      </c>
      <c r="C12" s="341">
        <v>7200</v>
      </c>
      <c r="D12" s="966">
        <f>SUM(D13:D14,D18:D19)</f>
        <v>20</v>
      </c>
    </row>
    <row r="13" spans="1:4" ht="16.5" customHeight="1" thickBot="1">
      <c r="A13" s="441" t="s">
        <v>1178</v>
      </c>
      <c r="B13" s="452" t="s">
        <v>1187</v>
      </c>
      <c r="C13" s="452">
        <v>7210</v>
      </c>
      <c r="D13" s="931">
        <v>4</v>
      </c>
    </row>
    <row r="14" spans="1:4" ht="15.75" thickBot="1">
      <c r="A14" s="441" t="s">
        <v>1172</v>
      </c>
      <c r="B14" s="341"/>
      <c r="C14" s="341">
        <v>7220</v>
      </c>
      <c r="D14" s="966">
        <f>SUM(D15:D17)</f>
        <v>7</v>
      </c>
    </row>
    <row r="15" spans="1:4" ht="45.75" thickBot="1">
      <c r="A15" s="621" t="s">
        <v>1188</v>
      </c>
      <c r="B15" s="320" t="s">
        <v>1189</v>
      </c>
      <c r="C15" s="320">
        <v>7230</v>
      </c>
      <c r="D15" s="931">
        <v>5</v>
      </c>
    </row>
    <row r="16" spans="1:4" ht="60.75" thickBot="1">
      <c r="A16" s="621" t="s">
        <v>1190</v>
      </c>
      <c r="B16" s="320" t="s">
        <v>1191</v>
      </c>
      <c r="C16" s="320">
        <v>7240</v>
      </c>
      <c r="D16" s="931">
        <v>7</v>
      </c>
    </row>
    <row r="17" spans="1:4" ht="75.75" thickBot="1">
      <c r="A17" s="622" t="s">
        <v>1810</v>
      </c>
      <c r="B17" s="320" t="s">
        <v>449</v>
      </c>
      <c r="C17" s="320">
        <v>7250</v>
      </c>
      <c r="D17" s="931">
        <v>-5</v>
      </c>
    </row>
    <row r="18" spans="1:4" ht="15.75" thickBot="1">
      <c r="A18" s="441" t="s">
        <v>1184</v>
      </c>
      <c r="B18" s="341" t="s">
        <v>1185</v>
      </c>
      <c r="C18" s="341">
        <v>7260</v>
      </c>
      <c r="D18" s="931">
        <v>5</v>
      </c>
    </row>
    <row r="19" spans="1:4" ht="15.75" thickBot="1">
      <c r="A19" s="441" t="s">
        <v>1591</v>
      </c>
      <c r="B19" s="341" t="s">
        <v>740</v>
      </c>
      <c r="C19" s="341">
        <v>7270</v>
      </c>
      <c r="D19" s="931">
        <v>4</v>
      </c>
    </row>
    <row r="20" spans="1:4" ht="15.75" thickBot="1">
      <c r="A20" s="617" t="s">
        <v>1059</v>
      </c>
      <c r="B20" s="548"/>
      <c r="C20" s="341">
        <v>7999</v>
      </c>
      <c r="D20" s="966">
        <f>D4-D12</f>
        <v>100</v>
      </c>
    </row>
    <row r="21" spans="1:4">
      <c r="D21" s="829">
        <f>D20-'2.0'!E50</f>
        <v>0</v>
      </c>
    </row>
    <row r="23" spans="1:4" s="12" customFormat="1" ht="13.5">
      <c r="A23" s="41"/>
      <c r="B23" s="37">
        <v>10</v>
      </c>
      <c r="C23" s="28" t="b">
        <f>D4=D5+D6+D10+D11</f>
        <v>1</v>
      </c>
      <c r="D23" s="29" t="s">
        <v>280</v>
      </c>
    </row>
    <row r="24" spans="1:4" s="12" customFormat="1" ht="13.5">
      <c r="A24" s="41"/>
      <c r="B24" s="37">
        <v>20</v>
      </c>
      <c r="C24" s="28" t="b">
        <f>D6=D7+D9</f>
        <v>1</v>
      </c>
      <c r="D24" s="29" t="s">
        <v>281</v>
      </c>
    </row>
    <row r="25" spans="1:4" s="12" customFormat="1" ht="13.5">
      <c r="A25" s="41"/>
      <c r="B25" s="37">
        <v>30</v>
      </c>
      <c r="C25" s="28" t="b">
        <f>D12=D13+D14+D18+D19</f>
        <v>1</v>
      </c>
      <c r="D25" s="29" t="s">
        <v>282</v>
      </c>
    </row>
    <row r="26" spans="1:4" s="12" customFormat="1" ht="13.5">
      <c r="A26" s="41"/>
      <c r="B26" s="37">
        <v>40</v>
      </c>
      <c r="C26" s="28" t="b">
        <f>D14=D15+D16+D17</f>
        <v>1</v>
      </c>
      <c r="D26" s="29" t="s">
        <v>283</v>
      </c>
    </row>
    <row r="27" spans="1:4" s="12" customFormat="1" ht="13.5">
      <c r="A27" s="41"/>
      <c r="B27" s="37">
        <v>50</v>
      </c>
      <c r="C27" s="28" t="b">
        <f>D20=D4-D12</f>
        <v>1</v>
      </c>
      <c r="D27" s="29" t="s">
        <v>284</v>
      </c>
    </row>
    <row r="28" spans="1:4" s="12" customFormat="1" ht="13.5">
      <c r="A28" s="41"/>
      <c r="B28" s="37">
        <v>60</v>
      </c>
      <c r="C28" s="28" t="b">
        <f>D20='2.0'!E50</f>
        <v>1</v>
      </c>
      <c r="D28" s="29" t="s">
        <v>285</v>
      </c>
    </row>
  </sheetData>
  <customSheetViews>
    <customSheetView guid="{5D819D0C-25F7-408A-B978-F4F86F7655CA}" showPageBreaks="1" showRuler="0" topLeftCell="A7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35" orientation="portrait" r:id="rId4"/>
  <headerFooter alignWithMargins="0">
    <oddHeader>&amp;C32.0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="75" zoomScaleNormal="75" zoomScaleSheetLayoutView="100" workbookViewId="0"/>
  </sheetViews>
  <sheetFormatPr defaultRowHeight="12.75"/>
  <cols>
    <col min="1" max="1" width="25.7109375" customWidth="1"/>
    <col min="2" max="2" width="9.5703125" bestFit="1" customWidth="1"/>
    <col min="3" max="3" width="10.85546875" customWidth="1"/>
    <col min="9" max="9" width="33.42578125" customWidth="1"/>
  </cols>
  <sheetData>
    <row r="1" spans="1:4" s="5" customFormat="1" ht="16.5" thickBot="1">
      <c r="A1" s="477" t="s">
        <v>237</v>
      </c>
      <c r="B1" s="56"/>
      <c r="C1" s="56"/>
      <c r="D1" s="56"/>
    </row>
    <row r="2" spans="1:4" ht="81" customHeight="1" thickBot="1">
      <c r="A2" s="381"/>
      <c r="B2" s="271" t="s">
        <v>2173</v>
      </c>
      <c r="C2" s="623"/>
      <c r="D2" s="271" t="s">
        <v>1673</v>
      </c>
    </row>
    <row r="3" spans="1:4" ht="15.75" thickBot="1">
      <c r="A3" s="624"/>
      <c r="B3" s="625"/>
      <c r="C3" s="341" t="s">
        <v>1012</v>
      </c>
      <c r="D3" s="283" t="s">
        <v>1013</v>
      </c>
    </row>
    <row r="4" spans="1:4" ht="15.75" thickBot="1">
      <c r="A4" s="498" t="s">
        <v>1193</v>
      </c>
      <c r="B4" s="256" t="s">
        <v>1194</v>
      </c>
      <c r="C4" s="332">
        <v>7100</v>
      </c>
      <c r="D4" s="931">
        <v>15</v>
      </c>
    </row>
    <row r="5" spans="1:4" ht="15.75" thickBot="1">
      <c r="A5" s="498" t="s">
        <v>1406</v>
      </c>
      <c r="B5" s="256" t="s">
        <v>1195</v>
      </c>
      <c r="C5" s="250">
        <v>7110</v>
      </c>
      <c r="D5" s="931">
        <v>15</v>
      </c>
    </row>
    <row r="6" spans="1:4" ht="15.75" customHeight="1" thickBot="1">
      <c r="A6" s="498" t="s">
        <v>1196</v>
      </c>
      <c r="B6" s="256" t="s">
        <v>1197</v>
      </c>
      <c r="C6" s="250">
        <v>7120</v>
      </c>
      <c r="D6" s="931">
        <v>75</v>
      </c>
    </row>
    <row r="7" spans="1:4" ht="15.75" thickBot="1">
      <c r="A7" s="498" t="s">
        <v>1198</v>
      </c>
      <c r="B7" s="256" t="s">
        <v>1199</v>
      </c>
      <c r="C7" s="250">
        <v>7140</v>
      </c>
      <c r="D7" s="931">
        <v>10</v>
      </c>
    </row>
    <row r="8" spans="1:4" ht="15.75" thickBot="1">
      <c r="A8" s="498" t="s">
        <v>1591</v>
      </c>
      <c r="B8" s="256" t="s">
        <v>236</v>
      </c>
      <c r="C8" s="336">
        <v>7150</v>
      </c>
      <c r="D8" s="931">
        <v>5</v>
      </c>
    </row>
    <row r="9" spans="1:4" ht="15.75" thickBot="1">
      <c r="A9" s="617" t="s">
        <v>1059</v>
      </c>
      <c r="B9" s="614"/>
      <c r="C9" s="452">
        <v>7999</v>
      </c>
      <c r="D9" s="966">
        <f>SUM(D4:D8)</f>
        <v>120</v>
      </c>
    </row>
    <row r="10" spans="1:4" s="2" customFormat="1">
      <c r="A10" s="88"/>
      <c r="B10" s="89"/>
      <c r="C10" s="7"/>
      <c r="D10" s="89"/>
    </row>
    <row r="12" spans="1:4" s="12" customFormat="1" ht="13.5">
      <c r="A12" s="41"/>
      <c r="B12" s="37">
        <v>10</v>
      </c>
      <c r="C12" s="28" t="b">
        <f>D9=SUM(D4:D8)</f>
        <v>1</v>
      </c>
      <c r="D12" s="29" t="s">
        <v>1929</v>
      </c>
    </row>
    <row r="13" spans="1:4" s="12" customFormat="1" ht="13.5">
      <c r="A13" s="41"/>
      <c r="B13" s="37">
        <v>20</v>
      </c>
      <c r="C13" s="28" t="b">
        <f>D9='2.0'!E52</f>
        <v>1</v>
      </c>
      <c r="D13" s="29" t="s">
        <v>1930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6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6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230" orientation="landscape" r:id="rId4"/>
  <headerFooter alignWithMargins="0">
    <oddHeader>&amp;C33.0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topLeftCell="A16" zoomScaleNormal="100" zoomScaleSheetLayoutView="100" workbookViewId="0">
      <selection activeCell="D50" sqref="D50"/>
    </sheetView>
  </sheetViews>
  <sheetFormatPr defaultRowHeight="12.75"/>
  <cols>
    <col min="1" max="1" width="41.28515625" customWidth="1"/>
    <col min="2" max="2" width="13.7109375" customWidth="1"/>
    <col min="3" max="3" width="7.7109375" customWidth="1"/>
    <col min="4" max="4" width="35.85546875" customWidth="1"/>
    <col min="12" max="12" width="27.42578125" customWidth="1"/>
  </cols>
  <sheetData>
    <row r="1" spans="1:4" ht="16.5" thickBot="1">
      <c r="A1" s="242" t="s">
        <v>523</v>
      </c>
    </row>
    <row r="2" spans="1:4" ht="128.25" customHeight="1" thickBot="1">
      <c r="A2" s="277" t="s">
        <v>1853</v>
      </c>
      <c r="B2" s="270" t="s">
        <v>137</v>
      </c>
      <c r="C2" s="270"/>
      <c r="D2" s="271" t="s">
        <v>138</v>
      </c>
    </row>
    <row r="3" spans="1:4" ht="15.75" thickBot="1">
      <c r="A3" s="244"/>
      <c r="B3" s="245"/>
      <c r="C3" s="246" t="s">
        <v>1012</v>
      </c>
      <c r="D3" s="247" t="s">
        <v>1013</v>
      </c>
    </row>
    <row r="4" spans="1:4" ht="15">
      <c r="A4" s="248" t="s">
        <v>139</v>
      </c>
      <c r="B4" s="249" t="s">
        <v>140</v>
      </c>
      <c r="C4" s="273">
        <v>7100</v>
      </c>
      <c r="D4" s="827">
        <f>SUM('3.b'!C4:E4)</f>
        <v>240</v>
      </c>
    </row>
    <row r="5" spans="1:4" ht="15">
      <c r="A5" s="251" t="s">
        <v>141</v>
      </c>
      <c r="B5" s="252" t="s">
        <v>1821</v>
      </c>
      <c r="C5" s="273">
        <v>7110</v>
      </c>
      <c r="D5" s="827">
        <f>SUM('3.b'!C5:E5)</f>
        <v>150</v>
      </c>
    </row>
    <row r="6" spans="1:4" ht="15">
      <c r="A6" s="253" t="s">
        <v>1822</v>
      </c>
      <c r="B6" s="252" t="s">
        <v>1823</v>
      </c>
      <c r="C6" s="273">
        <v>7120</v>
      </c>
      <c r="D6" s="827">
        <f>SUM('3.b'!C6:E6)</f>
        <v>50</v>
      </c>
    </row>
    <row r="7" spans="1:4" ht="17.25" customHeight="1">
      <c r="A7" s="254" t="s">
        <v>1824</v>
      </c>
      <c r="B7" s="252" t="s">
        <v>1825</v>
      </c>
      <c r="C7" s="273">
        <v>7130</v>
      </c>
      <c r="D7" s="827">
        <f>SUM('3.b'!C7:E7)</f>
        <v>50</v>
      </c>
    </row>
    <row r="8" spans="1:4" ht="15.75" thickBot="1">
      <c r="A8" s="255" t="s">
        <v>1826</v>
      </c>
      <c r="B8" s="256" t="s">
        <v>1827</v>
      </c>
      <c r="C8" s="273">
        <v>7140</v>
      </c>
      <c r="D8" s="827">
        <f>SUM('3.b'!C8:E8)</f>
        <v>50</v>
      </c>
    </row>
    <row r="9" spans="1:4" ht="15">
      <c r="A9" s="259" t="s">
        <v>1654</v>
      </c>
      <c r="B9" s="261" t="s">
        <v>140</v>
      </c>
      <c r="C9" s="274">
        <v>7150</v>
      </c>
      <c r="D9" s="827">
        <f>SUM('3.b'!C9:E9)</f>
        <v>305</v>
      </c>
    </row>
    <row r="10" spans="1:4" ht="15">
      <c r="A10" s="260" t="s">
        <v>1828</v>
      </c>
      <c r="B10" s="262" t="s">
        <v>1829</v>
      </c>
      <c r="C10" s="274">
        <v>7160</v>
      </c>
      <c r="D10" s="827">
        <f>SUM('3.b'!C10:E10)</f>
        <v>61</v>
      </c>
    </row>
    <row r="11" spans="1:4" ht="15">
      <c r="A11" s="260" t="s">
        <v>1830</v>
      </c>
      <c r="B11" s="262" t="s">
        <v>1829</v>
      </c>
      <c r="C11" s="274">
        <v>7170</v>
      </c>
      <c r="D11" s="827">
        <f>SUM('3.b'!C11:E11)</f>
        <v>61</v>
      </c>
    </row>
    <row r="12" spans="1:4" ht="15">
      <c r="A12" s="260" t="s">
        <v>1849</v>
      </c>
      <c r="B12" s="262" t="s">
        <v>1829</v>
      </c>
      <c r="C12" s="274">
        <v>7180</v>
      </c>
      <c r="D12" s="827">
        <f>SUM('3.b'!C12:E12)</f>
        <v>61</v>
      </c>
    </row>
    <row r="13" spans="1:4" ht="15">
      <c r="A13" s="260" t="s">
        <v>1850</v>
      </c>
      <c r="B13" s="262" t="s">
        <v>1829</v>
      </c>
      <c r="C13" s="274">
        <v>7190</v>
      </c>
      <c r="D13" s="827">
        <f>SUM('3.b'!C13:E13)</f>
        <v>61</v>
      </c>
    </row>
    <row r="14" spans="1:4" ht="15">
      <c r="A14" s="260" t="s">
        <v>1851</v>
      </c>
      <c r="B14" s="262" t="s">
        <v>1829</v>
      </c>
      <c r="C14" s="274">
        <v>7200</v>
      </c>
      <c r="D14" s="827">
        <f>SUM('3.b'!C14:E14)</f>
        <v>61</v>
      </c>
    </row>
    <row r="15" spans="1:4" ht="15">
      <c r="A15" s="259" t="s">
        <v>1653</v>
      </c>
      <c r="B15" s="263" t="s">
        <v>140</v>
      </c>
      <c r="C15" s="274">
        <v>7210</v>
      </c>
      <c r="D15" s="827">
        <f>SUM('3.b'!C15:E15)</f>
        <v>305</v>
      </c>
    </row>
    <row r="16" spans="1:4" ht="15">
      <c r="A16" s="260" t="s">
        <v>1828</v>
      </c>
      <c r="B16" s="262" t="s">
        <v>1829</v>
      </c>
      <c r="C16" s="274">
        <v>7220</v>
      </c>
      <c r="D16" s="827">
        <f>SUM('3.b'!C16:E16)</f>
        <v>61</v>
      </c>
    </row>
    <row r="17" spans="1:13" ht="15">
      <c r="A17" s="260" t="s">
        <v>1830</v>
      </c>
      <c r="B17" s="262" t="s">
        <v>1829</v>
      </c>
      <c r="C17" s="274">
        <v>7230</v>
      </c>
      <c r="D17" s="827">
        <f>SUM('3.b'!C17:E17)</f>
        <v>61</v>
      </c>
    </row>
    <row r="18" spans="1:13" ht="15">
      <c r="A18" s="260" t="s">
        <v>1849</v>
      </c>
      <c r="B18" s="262" t="s">
        <v>1829</v>
      </c>
      <c r="C18" s="274">
        <v>7240</v>
      </c>
      <c r="D18" s="827">
        <f>SUM('3.b'!C18:E18)</f>
        <v>61</v>
      </c>
    </row>
    <row r="19" spans="1:13" ht="15">
      <c r="A19" s="260" t="s">
        <v>1850</v>
      </c>
      <c r="B19" s="262" t="s">
        <v>1829</v>
      </c>
      <c r="C19" s="274">
        <v>7250</v>
      </c>
      <c r="D19" s="827">
        <f>SUM('3.b'!C19:E19)</f>
        <v>61</v>
      </c>
    </row>
    <row r="20" spans="1:13" ht="15.75" thickBot="1">
      <c r="A20" s="260" t="s">
        <v>1851</v>
      </c>
      <c r="B20" s="262" t="s">
        <v>1829</v>
      </c>
      <c r="C20" s="274">
        <v>7260</v>
      </c>
      <c r="D20" s="827">
        <f>SUM('3.b'!C20:E20)</f>
        <v>61</v>
      </c>
    </row>
    <row r="21" spans="1:13" ht="15.75" thickBot="1">
      <c r="A21" s="259" t="s">
        <v>1652</v>
      </c>
      <c r="B21" s="262"/>
      <c r="C21" s="275">
        <v>7800</v>
      </c>
      <c r="D21" s="1117">
        <v>0</v>
      </c>
      <c r="E21" s="5"/>
    </row>
    <row r="22" spans="1:13" ht="15.75" thickBot="1">
      <c r="A22" s="272" t="s">
        <v>1059</v>
      </c>
      <c r="B22" s="264"/>
      <c r="C22" s="276">
        <v>7900</v>
      </c>
      <c r="D22" s="828">
        <f>SUM(D4:D5,D9,D15)</f>
        <v>1000</v>
      </c>
      <c r="E22" s="829">
        <f>D22-'1.1'!E4</f>
        <v>0</v>
      </c>
    </row>
    <row r="23" spans="1:13">
      <c r="A23" s="9"/>
      <c r="B23" s="1193"/>
      <c r="C23" s="1193"/>
      <c r="D23" s="1193"/>
    </row>
    <row r="24" spans="1:13">
      <c r="A24" s="24"/>
      <c r="B24" s="1193"/>
      <c r="C24" s="1193"/>
      <c r="D24" s="1193"/>
    </row>
    <row r="25" spans="1:13">
      <c r="A25" s="9"/>
    </row>
    <row r="26" spans="1:13">
      <c r="A26" s="9"/>
    </row>
    <row r="27" spans="1:13" s="1134" customFormat="1" ht="14.25" customHeight="1">
      <c r="A27" s="1139"/>
      <c r="B27" s="33"/>
      <c r="C27" s="27">
        <v>10</v>
      </c>
      <c r="D27" s="28" t="b">
        <f>D5=D6+D7+D8</f>
        <v>1</v>
      </c>
      <c r="E27" s="38" t="s">
        <v>225</v>
      </c>
      <c r="F27" s="1165"/>
      <c r="G27" s="1165"/>
      <c r="H27" s="1165"/>
      <c r="I27" s="1165"/>
    </row>
    <row r="28" spans="1:13" s="1134" customFormat="1" ht="14.25" customHeight="1">
      <c r="A28" s="1139"/>
      <c r="B28" s="33"/>
      <c r="C28" s="27">
        <v>20</v>
      </c>
      <c r="D28" s="28" t="b">
        <f>D9=D10+D11+D12+D13+D14</f>
        <v>1</v>
      </c>
      <c r="E28" s="38" t="s">
        <v>226</v>
      </c>
      <c r="F28" s="1165"/>
      <c r="G28" s="1165"/>
      <c r="H28" s="1165"/>
      <c r="I28" s="1165"/>
    </row>
    <row r="29" spans="1:13" s="1134" customFormat="1" ht="14.25" customHeight="1">
      <c r="A29" s="1139"/>
      <c r="B29" s="33"/>
      <c r="C29" s="27">
        <v>30</v>
      </c>
      <c r="D29" s="28" t="b">
        <f>D15=D16+D17+D18+D19+D20</f>
        <v>1</v>
      </c>
      <c r="E29" s="38" t="s">
        <v>227</v>
      </c>
      <c r="F29" s="1165"/>
      <c r="G29" s="1165"/>
      <c r="H29" s="1165"/>
      <c r="I29" s="1165"/>
    </row>
    <row r="30" spans="1:13" s="1134" customFormat="1" ht="14.25" customHeight="1">
      <c r="A30" s="1135" t="s">
        <v>2969</v>
      </c>
      <c r="B30" s="1166"/>
      <c r="C30" s="1119">
        <v>40</v>
      </c>
      <c r="D30" s="1120" t="b">
        <f>D22=D4+D5+D9+D15</f>
        <v>1</v>
      </c>
      <c r="E30" s="1121" t="s">
        <v>2962</v>
      </c>
      <c r="F30" s="1167"/>
      <c r="G30" s="1167"/>
      <c r="H30" s="1167"/>
      <c r="I30" s="1167"/>
      <c r="J30" s="1135"/>
      <c r="K30" s="1135"/>
      <c r="L30" s="1135"/>
      <c r="M30" s="1139"/>
    </row>
    <row r="31" spans="1:13" s="1134" customFormat="1" ht="14.25" customHeight="1">
      <c r="A31" s="1139"/>
      <c r="B31" s="33"/>
      <c r="C31" s="27">
        <v>50</v>
      </c>
      <c r="D31" s="28" t="b">
        <f>D4='3.b'!C4+'3.b'!D4+'3.b'!E4</f>
        <v>1</v>
      </c>
      <c r="E31" s="38" t="s">
        <v>228</v>
      </c>
      <c r="F31" s="1165"/>
      <c r="G31" s="1165"/>
      <c r="H31" s="1165"/>
      <c r="I31" s="1165"/>
    </row>
    <row r="32" spans="1:13" s="1134" customFormat="1" ht="14.25" customHeight="1">
      <c r="A32" s="1139"/>
      <c r="B32" s="33"/>
      <c r="C32" s="27">
        <v>60</v>
      </c>
      <c r="D32" s="28" t="b">
        <f>D5='3.b'!C5+'3.b'!D5+'3.b'!E5</f>
        <v>1</v>
      </c>
      <c r="E32" s="38" t="s">
        <v>2775</v>
      </c>
      <c r="F32" s="1165"/>
      <c r="G32" s="1165"/>
      <c r="H32" s="1165"/>
      <c r="I32" s="1165"/>
    </row>
    <row r="33" spans="1:9" s="1134" customFormat="1" ht="14.25" customHeight="1">
      <c r="A33" s="1139"/>
      <c r="B33" s="33"/>
      <c r="C33" s="27">
        <v>70</v>
      </c>
      <c r="D33" s="28" t="b">
        <f>D6='3.b'!C6+'3.b'!D6+'3.b'!E6</f>
        <v>1</v>
      </c>
      <c r="E33" s="38" t="s">
        <v>2776</v>
      </c>
      <c r="F33" s="1165"/>
      <c r="G33" s="1165"/>
      <c r="H33" s="1165"/>
      <c r="I33" s="1165"/>
    </row>
    <row r="34" spans="1:9" s="1134" customFormat="1" ht="14.25" customHeight="1">
      <c r="A34" s="1139"/>
      <c r="B34" s="33"/>
      <c r="C34" s="27">
        <v>80</v>
      </c>
      <c r="D34" s="28" t="b">
        <f>D7='3.b'!C7+'3.b'!D7+'3.b'!E7</f>
        <v>1</v>
      </c>
      <c r="E34" s="38" t="s">
        <v>2777</v>
      </c>
      <c r="F34" s="1165"/>
      <c r="G34" s="1165"/>
      <c r="H34" s="1165"/>
      <c r="I34" s="1165"/>
    </row>
    <row r="35" spans="1:9" s="1134" customFormat="1" ht="14.25" customHeight="1">
      <c r="A35" s="1139"/>
      <c r="B35" s="33"/>
      <c r="C35" s="27">
        <v>90</v>
      </c>
      <c r="D35" s="28" t="b">
        <f>D8='3.b'!C8+'3.b'!D8+'3.b'!E8</f>
        <v>1</v>
      </c>
      <c r="E35" s="38" t="s">
        <v>2778</v>
      </c>
      <c r="F35" s="1165"/>
      <c r="G35" s="1165"/>
      <c r="H35" s="1165"/>
      <c r="I35" s="1165"/>
    </row>
    <row r="36" spans="1:9" s="1134" customFormat="1" ht="14.25" customHeight="1">
      <c r="A36" s="1139"/>
      <c r="B36" s="33"/>
      <c r="C36" s="27">
        <v>100</v>
      </c>
      <c r="D36" s="28" t="b">
        <f>D9='3.b'!C9+'3.b'!D9+'3.b'!E9</f>
        <v>1</v>
      </c>
      <c r="E36" s="38" t="s">
        <v>2779</v>
      </c>
      <c r="F36" s="1165"/>
      <c r="G36" s="1165"/>
      <c r="H36" s="1165"/>
      <c r="I36" s="1165"/>
    </row>
    <row r="37" spans="1:9" s="1134" customFormat="1" ht="14.25" customHeight="1">
      <c r="A37" s="1139"/>
      <c r="B37" s="33"/>
      <c r="C37" s="27">
        <v>110</v>
      </c>
      <c r="D37" s="28" t="b">
        <f>D10='3.b'!C10+'3.b'!D10+'3.b'!E10</f>
        <v>1</v>
      </c>
      <c r="E37" s="38" t="s">
        <v>2780</v>
      </c>
      <c r="F37" s="1165"/>
      <c r="G37" s="1165"/>
      <c r="H37" s="1165"/>
      <c r="I37" s="1165"/>
    </row>
    <row r="38" spans="1:9" s="1134" customFormat="1" ht="14.25" customHeight="1">
      <c r="A38" s="1139"/>
      <c r="B38" s="33"/>
      <c r="C38" s="27">
        <v>120</v>
      </c>
      <c r="D38" s="28" t="b">
        <f>D11='3.b'!C11+'3.b'!D11+'3.b'!E11</f>
        <v>1</v>
      </c>
      <c r="E38" s="38" t="s">
        <v>2781</v>
      </c>
      <c r="F38" s="1165"/>
      <c r="G38" s="1165"/>
      <c r="H38" s="1165"/>
      <c r="I38" s="1165"/>
    </row>
    <row r="39" spans="1:9" s="1134" customFormat="1" ht="14.25" customHeight="1">
      <c r="A39" s="1139"/>
      <c r="B39" s="33"/>
      <c r="C39" s="27">
        <v>130</v>
      </c>
      <c r="D39" s="28" t="b">
        <f>D12='3.b'!C12+'3.b'!D12+'3.b'!E12</f>
        <v>1</v>
      </c>
      <c r="E39" s="38" t="s">
        <v>2782</v>
      </c>
      <c r="F39" s="1165"/>
      <c r="G39" s="1165"/>
      <c r="H39" s="1165"/>
      <c r="I39" s="1165"/>
    </row>
    <row r="40" spans="1:9" s="1134" customFormat="1" ht="14.25" customHeight="1">
      <c r="A40" s="1139"/>
      <c r="B40" s="33"/>
      <c r="C40" s="27">
        <v>140</v>
      </c>
      <c r="D40" s="28" t="b">
        <f>D13='3.b'!C13+'3.b'!D13+'3.b'!E13</f>
        <v>1</v>
      </c>
      <c r="E40" s="38" t="s">
        <v>2783</v>
      </c>
      <c r="F40" s="1165"/>
      <c r="G40" s="1165"/>
      <c r="H40" s="1165"/>
      <c r="I40" s="1165"/>
    </row>
    <row r="41" spans="1:9" s="1134" customFormat="1" ht="14.25" customHeight="1">
      <c r="A41" s="1139"/>
      <c r="B41" s="33"/>
      <c r="C41" s="27">
        <v>150</v>
      </c>
      <c r="D41" s="28" t="b">
        <f>D14='3.b'!C14+'3.b'!D14+'3.b'!E14</f>
        <v>1</v>
      </c>
      <c r="E41" s="38" t="s">
        <v>2784</v>
      </c>
      <c r="F41" s="1165"/>
      <c r="G41" s="1165"/>
      <c r="H41" s="1165"/>
      <c r="I41" s="1165"/>
    </row>
    <row r="42" spans="1:9" s="1134" customFormat="1" ht="14.25" customHeight="1">
      <c r="A42" s="1139"/>
      <c r="B42" s="33"/>
      <c r="C42" s="27">
        <v>160</v>
      </c>
      <c r="D42" s="28" t="b">
        <f>D15='3.b'!C15+'3.b'!D15+'3.b'!E15</f>
        <v>1</v>
      </c>
      <c r="E42" s="38" t="s">
        <v>2785</v>
      </c>
      <c r="F42" s="1165"/>
      <c r="G42" s="1165"/>
      <c r="H42" s="1165"/>
      <c r="I42" s="1165"/>
    </row>
    <row r="43" spans="1:9" s="1134" customFormat="1" ht="14.25" customHeight="1">
      <c r="A43" s="1139"/>
      <c r="B43" s="33"/>
      <c r="C43" s="27">
        <v>170</v>
      </c>
      <c r="D43" s="28" t="b">
        <f>D16='3.b'!C16+'3.b'!D16+'3.b'!E16</f>
        <v>1</v>
      </c>
      <c r="E43" s="38" t="s">
        <v>2786</v>
      </c>
      <c r="F43" s="1165"/>
      <c r="G43" s="1165"/>
      <c r="H43" s="1165"/>
      <c r="I43" s="1165"/>
    </row>
    <row r="44" spans="1:9" s="1134" customFormat="1" ht="14.25" customHeight="1">
      <c r="A44" s="1139"/>
      <c r="B44" s="33"/>
      <c r="C44" s="27">
        <v>180</v>
      </c>
      <c r="D44" s="28" t="b">
        <f>D17='3.b'!C17+'3.b'!D17+'3.b'!E17</f>
        <v>1</v>
      </c>
      <c r="E44" s="38" t="s">
        <v>2787</v>
      </c>
      <c r="F44" s="1165"/>
      <c r="G44" s="1165"/>
      <c r="H44" s="1165"/>
      <c r="I44" s="1165"/>
    </row>
    <row r="45" spans="1:9" s="1134" customFormat="1" ht="14.25" customHeight="1">
      <c r="A45" s="1139"/>
      <c r="B45" s="33"/>
      <c r="C45" s="27">
        <v>190</v>
      </c>
      <c r="D45" s="28" t="b">
        <f>D18='3.b'!C18+'3.b'!D18+'3.b'!E18</f>
        <v>1</v>
      </c>
      <c r="E45" s="38" t="s">
        <v>1352</v>
      </c>
      <c r="F45" s="1165"/>
      <c r="G45" s="1165"/>
      <c r="H45" s="1165"/>
      <c r="I45" s="1165"/>
    </row>
    <row r="46" spans="1:9" s="1134" customFormat="1" ht="14.25" customHeight="1">
      <c r="A46" s="1139"/>
      <c r="B46" s="33"/>
      <c r="C46" s="27">
        <v>200</v>
      </c>
      <c r="D46" s="28" t="b">
        <f>D19='3.b'!C19+'3.b'!D19+'3.b'!E19</f>
        <v>1</v>
      </c>
      <c r="E46" s="38" t="s">
        <v>1353</v>
      </c>
      <c r="F46" s="1165"/>
      <c r="G46" s="1165"/>
      <c r="H46" s="1165"/>
      <c r="I46" s="1165"/>
    </row>
    <row r="47" spans="1:9" s="1134" customFormat="1" ht="14.25" customHeight="1">
      <c r="A47" s="1139"/>
      <c r="B47" s="33"/>
      <c r="C47" s="27">
        <v>210</v>
      </c>
      <c r="D47" s="28" t="b">
        <f>D20='3.b'!C20+'3.b'!D20+'3.b'!E20</f>
        <v>1</v>
      </c>
      <c r="E47" s="38" t="s">
        <v>1354</v>
      </c>
      <c r="F47" s="1165"/>
      <c r="G47" s="1165"/>
      <c r="H47" s="1165"/>
      <c r="I47" s="1165"/>
    </row>
    <row r="48" spans="1:9" s="1134" customFormat="1" ht="14.25" customHeight="1">
      <c r="B48" s="33"/>
      <c r="C48" s="27">
        <v>220</v>
      </c>
      <c r="D48" s="28" t="b">
        <f>D22='3.b'!C21+'3.b'!D21+'3.b'!E21</f>
        <v>1</v>
      </c>
      <c r="E48" s="38" t="s">
        <v>2925</v>
      </c>
      <c r="F48" s="1165"/>
      <c r="G48" s="1165"/>
      <c r="H48" s="1165"/>
      <c r="I48" s="1165"/>
    </row>
    <row r="49" spans="1:9" s="1134" customFormat="1" ht="15" hidden="1" customHeight="1">
      <c r="A49" s="1139"/>
      <c r="B49" s="33"/>
      <c r="C49" s="1168" t="s">
        <v>1355</v>
      </c>
      <c r="D49" s="1169"/>
      <c r="E49" s="1170"/>
      <c r="F49" s="1171"/>
    </row>
    <row r="50" spans="1:9" s="1134" customFormat="1" ht="13.5">
      <c r="A50" s="1139"/>
      <c r="B50" s="37"/>
      <c r="C50" s="37">
        <v>230</v>
      </c>
      <c r="D50" s="28" t="b">
        <f>D22='1.1'!E4</f>
        <v>1</v>
      </c>
      <c r="E50" s="29" t="s">
        <v>1356</v>
      </c>
      <c r="F50" s="1139"/>
      <c r="G50" s="1139"/>
      <c r="H50" s="1139"/>
      <c r="I50" s="1139"/>
    </row>
    <row r="51" spans="1:9" s="1134" customFormat="1" ht="13.5">
      <c r="A51" s="1135" t="s">
        <v>2969</v>
      </c>
      <c r="B51" s="1135"/>
      <c r="C51" s="1124">
        <v>240</v>
      </c>
      <c r="D51" s="1120" t="b">
        <f>D21=0</f>
        <v>1</v>
      </c>
      <c r="E51" s="1121" t="s">
        <v>2924</v>
      </c>
      <c r="F51" s="1135"/>
      <c r="G51" s="1135"/>
      <c r="H51" s="1135"/>
      <c r="I51" s="1135"/>
    </row>
  </sheetData>
  <customSheetViews>
    <customSheetView guid="{5D819D0C-25F7-408A-B978-F4F86F7655CA}" showPageBreaks="1" showRuler="0" topLeftCell="C1">
      <selection activeCell="D29" sqref="D2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B23:D24"/>
  </mergeCells>
  <phoneticPr fontId="0" type="noConversion"/>
  <pageMargins left="0.75" right="0.75" top="1" bottom="1" header="0.5" footer="0.5"/>
  <pageSetup paperSize="8" scale="154" orientation="landscape" r:id="rId4"/>
  <headerFooter alignWithMargins="0">
    <oddHeader xml:space="preserve">&amp;C3.A
</oddHeader>
  </headerFooter>
  <rowBreaks count="1" manualBreakCount="1">
    <brk id="23" max="8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/>
  </sheetViews>
  <sheetFormatPr defaultRowHeight="12.75"/>
  <cols>
    <col min="1" max="1" width="17.85546875" customWidth="1"/>
    <col min="2" max="2" width="13.7109375" customWidth="1"/>
    <col min="3" max="3" width="9.85546875" customWidth="1"/>
    <col min="10" max="10" width="37.7109375" customWidth="1"/>
  </cols>
  <sheetData>
    <row r="1" spans="1:5" s="5" customFormat="1" ht="16.5" thickBot="1">
      <c r="A1" s="477" t="s">
        <v>654</v>
      </c>
      <c r="B1" s="279"/>
      <c r="C1" s="279"/>
      <c r="D1" s="279"/>
    </row>
    <row r="2" spans="1:5" ht="69.75" customHeight="1" thickBot="1">
      <c r="A2" s="381"/>
      <c r="B2" s="271" t="s">
        <v>2173</v>
      </c>
      <c r="C2" s="623"/>
      <c r="D2" s="271" t="s">
        <v>1673</v>
      </c>
    </row>
    <row r="3" spans="1:5" ht="15.75" thickBot="1">
      <c r="A3" s="624"/>
      <c r="B3" s="625"/>
      <c r="C3" s="341" t="s">
        <v>1012</v>
      </c>
      <c r="D3" s="283" t="s">
        <v>1013</v>
      </c>
    </row>
    <row r="4" spans="1:5" ht="30.75" thickBot="1">
      <c r="A4" s="498" t="s">
        <v>238</v>
      </c>
      <c r="B4" s="256" t="s">
        <v>239</v>
      </c>
      <c r="C4" s="452">
        <v>7100</v>
      </c>
      <c r="D4" s="991">
        <v>12</v>
      </c>
    </row>
    <row r="5" spans="1:5" ht="15.75" thickBot="1">
      <c r="A5" s="498" t="s">
        <v>240</v>
      </c>
      <c r="B5" s="256" t="s">
        <v>740</v>
      </c>
      <c r="C5" s="452">
        <v>7110</v>
      </c>
      <c r="D5" s="991">
        <v>4</v>
      </c>
    </row>
    <row r="6" spans="1:5" ht="15.75" thickBot="1">
      <c r="A6" s="498" t="s">
        <v>241</v>
      </c>
      <c r="B6" s="256" t="s">
        <v>740</v>
      </c>
      <c r="C6" s="452">
        <v>7120</v>
      </c>
      <c r="D6" s="991">
        <v>16</v>
      </c>
    </row>
    <row r="7" spans="1:5" ht="15.75" thickBot="1">
      <c r="A7" s="498" t="s">
        <v>242</v>
      </c>
      <c r="B7" s="256" t="s">
        <v>243</v>
      </c>
      <c r="C7" s="452">
        <v>7130</v>
      </c>
      <c r="D7" s="991">
        <v>6</v>
      </c>
    </row>
    <row r="8" spans="1:5" ht="15" customHeight="1" thickBot="1">
      <c r="A8" s="498" t="s">
        <v>1591</v>
      </c>
      <c r="B8" s="256" t="s">
        <v>244</v>
      </c>
      <c r="C8" s="452">
        <v>7140</v>
      </c>
      <c r="D8" s="991">
        <v>2</v>
      </c>
    </row>
    <row r="9" spans="1:5" ht="15.75" thickBot="1">
      <c r="A9" s="617" t="s">
        <v>1059</v>
      </c>
      <c r="B9" s="614"/>
      <c r="C9" s="452">
        <v>7999</v>
      </c>
      <c r="D9" s="982">
        <f>SUM(D4:D8)</f>
        <v>40</v>
      </c>
    </row>
    <row r="10" spans="1:5">
      <c r="D10" s="829">
        <f>D9-'2.0'!E53</f>
        <v>0</v>
      </c>
    </row>
    <row r="12" spans="1:5" s="12" customFormat="1" ht="13.5">
      <c r="A12" s="41"/>
      <c r="B12" s="45"/>
      <c r="C12" s="37">
        <v>10</v>
      </c>
      <c r="D12" s="28" t="b">
        <f>D9=SUM(D4:D8)</f>
        <v>1</v>
      </c>
      <c r="E12" s="29" t="s">
        <v>1931</v>
      </c>
    </row>
    <row r="13" spans="1:5" s="12" customFormat="1" ht="13.5">
      <c r="A13" s="41"/>
      <c r="B13" s="45"/>
      <c r="C13" s="37">
        <v>20</v>
      </c>
      <c r="D13" s="28" t="b">
        <f>D9='2.0'!E53</f>
        <v>1</v>
      </c>
      <c r="E13" s="29" t="s">
        <v>1932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8" scale="245" orientation="landscape" r:id="rId4"/>
  <headerFooter alignWithMargins="0">
    <oddHeader>&amp;C34.0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Normal="100" workbookViewId="0">
      <selection activeCell="A6" sqref="A6"/>
    </sheetView>
  </sheetViews>
  <sheetFormatPr defaultRowHeight="12.75"/>
  <cols>
    <col min="3" max="3" width="36.42578125" customWidth="1"/>
    <col min="4" max="4" width="12.5703125" customWidth="1"/>
    <col min="5" max="5" width="6.42578125" customWidth="1"/>
    <col min="6" max="6" width="12.42578125" customWidth="1"/>
  </cols>
  <sheetData>
    <row r="1" spans="1:1" ht="15.75">
      <c r="A1" s="321" t="s">
        <v>2591</v>
      </c>
    </row>
  </sheetData>
  <customSheetViews>
    <customSheetView guid="{5D819D0C-25F7-408A-B978-F4F86F7655CA}" showPageBreaks="1" showRuler="0" topLeftCell="C1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scale="85" orientation="portrait" r:id="rId4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Normal="100" workbookViewId="0"/>
  </sheetViews>
  <sheetFormatPr defaultRowHeight="12.75"/>
  <cols>
    <col min="1" max="1" width="47.5703125" customWidth="1"/>
    <col min="2" max="2" width="15.5703125" customWidth="1"/>
    <col min="3" max="3" width="9.7109375" customWidth="1"/>
    <col min="4" max="4" width="11.42578125" customWidth="1"/>
    <col min="9" max="9" width="39.7109375" customWidth="1"/>
  </cols>
  <sheetData>
    <row r="1" spans="1:5" s="5" customFormat="1" ht="16.5" thickBot="1">
      <c r="A1" s="477" t="s">
        <v>1766</v>
      </c>
      <c r="B1" s="279"/>
      <c r="C1" s="279"/>
      <c r="D1" s="279"/>
      <c r="E1" s="279"/>
    </row>
    <row r="2" spans="1:5" ht="89.25" customHeight="1" thickBot="1">
      <c r="A2" s="381"/>
      <c r="B2" s="271" t="s">
        <v>137</v>
      </c>
      <c r="C2" s="623"/>
      <c r="D2" s="271" t="s">
        <v>1136</v>
      </c>
      <c r="E2" s="279"/>
    </row>
    <row r="3" spans="1:5" ht="15.75" thickBot="1">
      <c r="A3" s="624"/>
      <c r="B3" s="625"/>
      <c r="C3" s="283" t="s">
        <v>1012</v>
      </c>
      <c r="D3" s="283" t="s">
        <v>1013</v>
      </c>
      <c r="E3" s="279"/>
    </row>
    <row r="4" spans="1:5" ht="15.75" thickBot="1">
      <c r="A4" s="300" t="s">
        <v>249</v>
      </c>
      <c r="B4" s="297" t="s">
        <v>1911</v>
      </c>
      <c r="C4" s="332">
        <v>7100</v>
      </c>
      <c r="D4" s="991">
        <v>75</v>
      </c>
      <c r="E4" s="279"/>
    </row>
    <row r="5" spans="1:5" ht="15.75" thickBot="1">
      <c r="A5" s="300" t="s">
        <v>1912</v>
      </c>
      <c r="B5" s="297" t="s">
        <v>1913</v>
      </c>
      <c r="C5" s="250">
        <v>7110</v>
      </c>
      <c r="D5" s="991">
        <v>15</v>
      </c>
      <c r="E5" s="279"/>
    </row>
    <row r="6" spans="1:5" ht="15.75" thickBot="1">
      <c r="A6" s="300" t="s">
        <v>1610</v>
      </c>
      <c r="B6" s="297" t="s">
        <v>1911</v>
      </c>
      <c r="C6" s="250">
        <v>7120</v>
      </c>
      <c r="D6" s="982">
        <f>D4-D5</f>
        <v>60</v>
      </c>
      <c r="E6" s="484" t="s">
        <v>1611</v>
      </c>
    </row>
    <row r="7" spans="1:5" ht="30.75" thickBot="1">
      <c r="A7" s="537" t="s">
        <v>1612</v>
      </c>
      <c r="B7" s="626" t="s">
        <v>1767</v>
      </c>
      <c r="C7" s="250">
        <v>7130</v>
      </c>
      <c r="D7" s="991">
        <v>20</v>
      </c>
      <c r="E7" s="279"/>
    </row>
    <row r="8" spans="1:5" ht="15.75" thickBot="1">
      <c r="A8" s="300" t="s">
        <v>1614</v>
      </c>
      <c r="B8" s="297" t="s">
        <v>1615</v>
      </c>
      <c r="C8" s="250">
        <v>7140</v>
      </c>
      <c r="D8" s="982">
        <f>D6-D7</f>
        <v>40</v>
      </c>
      <c r="E8" s="484" t="s">
        <v>965</v>
      </c>
    </row>
    <row r="9" spans="1:5" ht="30.75" thickBot="1">
      <c r="A9" s="300" t="s">
        <v>966</v>
      </c>
      <c r="B9" s="297"/>
      <c r="C9" s="250">
        <v>7150</v>
      </c>
      <c r="D9" s="991">
        <v>12</v>
      </c>
      <c r="E9" s="279"/>
    </row>
    <row r="10" spans="1:5" ht="30.75" thickBot="1">
      <c r="A10" s="300" t="s">
        <v>967</v>
      </c>
      <c r="B10" s="297"/>
      <c r="C10" s="250">
        <v>7160</v>
      </c>
      <c r="D10" s="991">
        <v>12</v>
      </c>
      <c r="E10" s="279"/>
    </row>
    <row r="11" spans="1:5" ht="30.75" thickBot="1">
      <c r="A11" s="300" t="s">
        <v>916</v>
      </c>
      <c r="B11" s="297" t="s">
        <v>917</v>
      </c>
      <c r="C11" s="250">
        <v>7170</v>
      </c>
      <c r="D11" s="991">
        <v>6</v>
      </c>
      <c r="E11" s="279"/>
    </row>
    <row r="12" spans="1:5" ht="30.75" thickBot="1">
      <c r="A12" s="300" t="s">
        <v>918</v>
      </c>
      <c r="B12" s="297" t="s">
        <v>919</v>
      </c>
      <c r="C12" s="250">
        <v>7180</v>
      </c>
      <c r="D12" s="982">
        <f>SUM(D9:D11)</f>
        <v>30</v>
      </c>
      <c r="E12" s="484" t="s">
        <v>1611</v>
      </c>
    </row>
    <row r="13" spans="1:5" ht="15.75" thickBot="1">
      <c r="A13" s="300" t="s">
        <v>1612</v>
      </c>
      <c r="B13" s="297" t="s">
        <v>920</v>
      </c>
      <c r="C13" s="250">
        <v>7190</v>
      </c>
      <c r="D13" s="991">
        <v>10</v>
      </c>
      <c r="E13" s="279"/>
    </row>
    <row r="14" spans="1:5" ht="60.75" thickBot="1">
      <c r="A14" s="300" t="s">
        <v>921</v>
      </c>
      <c r="B14" s="297" t="s">
        <v>922</v>
      </c>
      <c r="C14" s="250">
        <v>7200</v>
      </c>
      <c r="D14" s="982">
        <f>D12-D13</f>
        <v>20</v>
      </c>
      <c r="E14" s="484" t="s">
        <v>923</v>
      </c>
    </row>
    <row r="15" spans="1:5" ht="30.75" thickBot="1">
      <c r="A15" s="627" t="s">
        <v>924</v>
      </c>
      <c r="B15" s="537" t="s">
        <v>925</v>
      </c>
      <c r="C15" s="336">
        <v>7210</v>
      </c>
      <c r="D15" s="982">
        <f>SUM(D14,D8)</f>
        <v>60</v>
      </c>
      <c r="E15" s="628" t="s">
        <v>1765</v>
      </c>
    </row>
    <row r="16" spans="1:5">
      <c r="D16" s="829">
        <f>D15-'2.0'!E78</f>
        <v>0</v>
      </c>
    </row>
    <row r="20" spans="1:9" s="12" customFormat="1" ht="13.5">
      <c r="A20" s="41"/>
      <c r="B20" s="37">
        <v>10</v>
      </c>
      <c r="C20" s="28" t="b">
        <f>D15=D8+D14</f>
        <v>1</v>
      </c>
      <c r="D20" s="29" t="s">
        <v>1933</v>
      </c>
      <c r="E20" s="41"/>
      <c r="F20" s="41"/>
      <c r="G20" s="41"/>
      <c r="H20" s="41"/>
      <c r="I20" s="41"/>
    </row>
    <row r="21" spans="1:9" s="12" customFormat="1" ht="13.5">
      <c r="A21" s="41"/>
      <c r="B21" s="37">
        <v>20</v>
      </c>
      <c r="C21" s="28" t="b">
        <f>D6=D4-D5</f>
        <v>1</v>
      </c>
      <c r="D21" s="29" t="s">
        <v>1934</v>
      </c>
      <c r="E21" s="41"/>
      <c r="F21" s="41"/>
      <c r="G21" s="41"/>
      <c r="H21" s="41"/>
      <c r="I21" s="41"/>
    </row>
    <row r="22" spans="1:9" s="12" customFormat="1" ht="13.5">
      <c r="A22" s="41"/>
      <c r="B22" s="37">
        <v>30</v>
      </c>
      <c r="C22" s="28" t="b">
        <f>D8=D6-D7</f>
        <v>1</v>
      </c>
      <c r="D22" s="29" t="s">
        <v>1935</v>
      </c>
      <c r="E22" s="41"/>
      <c r="F22" s="41"/>
      <c r="G22" s="41"/>
      <c r="H22" s="41"/>
      <c r="I22" s="41"/>
    </row>
    <row r="23" spans="1:9" s="12" customFormat="1" ht="13.5">
      <c r="A23" s="41"/>
      <c r="B23" s="37">
        <v>40</v>
      </c>
      <c r="C23" s="28" t="b">
        <f>D12=SUM(D9:D11)</f>
        <v>1</v>
      </c>
      <c r="D23" s="29" t="s">
        <v>1936</v>
      </c>
      <c r="E23" s="41"/>
      <c r="F23" s="41"/>
      <c r="G23" s="41"/>
      <c r="H23" s="41"/>
      <c r="I23" s="41"/>
    </row>
    <row r="24" spans="1:9" s="12" customFormat="1" ht="13.5">
      <c r="A24" s="41"/>
      <c r="B24" s="37">
        <v>50</v>
      </c>
      <c r="C24" s="28" t="b">
        <f>D14=D12-D13</f>
        <v>1</v>
      </c>
      <c r="D24" s="29" t="s">
        <v>1937</v>
      </c>
      <c r="E24" s="41"/>
      <c r="F24" s="41"/>
      <c r="G24" s="41"/>
      <c r="H24" s="41"/>
      <c r="I24" s="41"/>
    </row>
    <row r="25" spans="1:9" s="12" customFormat="1" ht="13.5">
      <c r="A25" s="41"/>
      <c r="B25" s="37">
        <v>60</v>
      </c>
      <c r="C25" s="28" t="b">
        <f>D15='2.0'!E78</f>
        <v>1</v>
      </c>
      <c r="D25" s="29" t="s">
        <v>1938</v>
      </c>
      <c r="E25" s="41"/>
      <c r="F25" s="41"/>
      <c r="G25" s="41"/>
      <c r="H25" s="41"/>
      <c r="I25" s="41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selection activeCell="A17" sqref="A17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selection activeCell="A17" sqref="A17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8" scale="160" orientation="landscape" r:id="rId4"/>
  <headerFooter alignWithMargins="0">
    <oddHeader>&amp;C36.0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="85" zoomScaleNormal="100" zoomScaleSheetLayoutView="100" workbookViewId="0"/>
  </sheetViews>
  <sheetFormatPr defaultRowHeight="12.75"/>
  <cols>
    <col min="1" max="1" width="49.42578125" bestFit="1" customWidth="1"/>
    <col min="2" max="2" width="9" customWidth="1"/>
    <col min="3" max="3" width="9.28515625" customWidth="1"/>
    <col min="12" max="12" width="41.28515625" customWidth="1"/>
  </cols>
  <sheetData>
    <row r="1" spans="1:5" s="5" customFormat="1" ht="15.75">
      <c r="A1" s="477" t="s">
        <v>998</v>
      </c>
      <c r="B1" s="279"/>
      <c r="C1" s="279"/>
      <c r="D1" s="279"/>
      <c r="E1" s="279"/>
    </row>
    <row r="2" spans="1:5" ht="16.5" thickBot="1">
      <c r="A2" s="242" t="s">
        <v>1075</v>
      </c>
      <c r="B2" s="279"/>
      <c r="C2" s="279"/>
      <c r="D2" s="279"/>
      <c r="E2" s="279"/>
    </row>
    <row r="3" spans="1:5" ht="66.75" customHeight="1" thickBot="1">
      <c r="A3" s="277" t="s">
        <v>598</v>
      </c>
      <c r="B3" s="629"/>
      <c r="C3" s="271" t="s">
        <v>1148</v>
      </c>
      <c r="D3" s="271" t="s">
        <v>1768</v>
      </c>
      <c r="E3" s="271" t="s">
        <v>1852</v>
      </c>
    </row>
    <row r="4" spans="1:5" s="2" customFormat="1" ht="15.75" thickBot="1">
      <c r="A4" s="488"/>
      <c r="B4" s="306" t="s">
        <v>1134</v>
      </c>
      <c r="C4" s="630" t="s">
        <v>1013</v>
      </c>
      <c r="D4" s="630" t="s">
        <v>1014</v>
      </c>
      <c r="E4" s="630" t="s">
        <v>1015</v>
      </c>
    </row>
    <row r="5" spans="1:5" ht="30.75" thickBot="1">
      <c r="A5" s="634" t="s">
        <v>599</v>
      </c>
      <c r="B5" s="435">
        <v>7100</v>
      </c>
      <c r="C5" s="992">
        <f>SUM(C6:C9)</f>
        <v>220</v>
      </c>
      <c r="D5" s="992">
        <f>SUM(D6:D9)</f>
        <v>60</v>
      </c>
      <c r="E5" s="993">
        <f t="shared" ref="E5:E17" si="0">C5-D5</f>
        <v>160</v>
      </c>
    </row>
    <row r="6" spans="1:5" ht="30.75" thickBot="1">
      <c r="A6" s="635" t="s">
        <v>1769</v>
      </c>
      <c r="B6" s="631">
        <v>7110</v>
      </c>
      <c r="C6" s="994">
        <v>40</v>
      </c>
      <c r="D6" s="995"/>
      <c r="E6" s="993">
        <f t="shared" si="0"/>
        <v>40</v>
      </c>
    </row>
    <row r="7" spans="1:5" ht="30.75" thickBot="1">
      <c r="A7" s="635" t="s">
        <v>1560</v>
      </c>
      <c r="B7" s="631">
        <v>7120</v>
      </c>
      <c r="C7" s="994">
        <v>60</v>
      </c>
      <c r="D7" s="994">
        <v>20</v>
      </c>
      <c r="E7" s="993">
        <f t="shared" si="0"/>
        <v>40</v>
      </c>
    </row>
    <row r="8" spans="1:5" ht="30.75" thickBot="1">
      <c r="A8" s="635" t="s">
        <v>944</v>
      </c>
      <c r="B8" s="631">
        <v>7130</v>
      </c>
      <c r="C8" s="994">
        <v>60</v>
      </c>
      <c r="D8" s="994">
        <v>20</v>
      </c>
      <c r="E8" s="993">
        <f t="shared" si="0"/>
        <v>40</v>
      </c>
    </row>
    <row r="9" spans="1:5" ht="30.75" thickBot="1">
      <c r="A9" s="635" t="s">
        <v>945</v>
      </c>
      <c r="B9" s="631">
        <v>7140</v>
      </c>
      <c r="C9" s="994">
        <v>60</v>
      </c>
      <c r="D9" s="994">
        <v>20</v>
      </c>
      <c r="E9" s="993">
        <f t="shared" si="0"/>
        <v>40</v>
      </c>
    </row>
    <row r="10" spans="1:5" ht="15.75" thickBot="1">
      <c r="A10" s="636" t="s">
        <v>110</v>
      </c>
      <c r="B10" s="631">
        <v>7150</v>
      </c>
      <c r="C10" s="993">
        <f>SUM(C11:C13,C16:C17)</f>
        <v>430</v>
      </c>
      <c r="D10" s="993">
        <f>SUM(D11:D13,D16:D17)</f>
        <v>230</v>
      </c>
      <c r="E10" s="993">
        <f t="shared" si="0"/>
        <v>200</v>
      </c>
    </row>
    <row r="11" spans="1:5" ht="15.75" thickBot="1">
      <c r="A11" s="635" t="s">
        <v>112</v>
      </c>
      <c r="B11" s="631">
        <v>7160</v>
      </c>
      <c r="C11" s="992">
        <f>'13.a'!H13+'13.b'!H11</f>
        <v>115</v>
      </c>
      <c r="D11" s="992">
        <f>'13.a'!H14+'13.b'!H12</f>
        <v>65</v>
      </c>
      <c r="E11" s="993">
        <f t="shared" si="0"/>
        <v>50</v>
      </c>
    </row>
    <row r="12" spans="1:5" ht="15.75" thickBot="1">
      <c r="A12" s="637" t="s">
        <v>114</v>
      </c>
      <c r="B12" s="631">
        <v>7170</v>
      </c>
      <c r="C12" s="992">
        <f>'14.A'!D11</f>
        <v>35</v>
      </c>
      <c r="D12" s="992">
        <f>'14.A'!D12</f>
        <v>5</v>
      </c>
      <c r="E12" s="993">
        <f t="shared" si="0"/>
        <v>30</v>
      </c>
    </row>
    <row r="13" spans="1:5" ht="15.75" thickBot="1">
      <c r="A13" s="637" t="s">
        <v>477</v>
      </c>
      <c r="B13" s="631">
        <v>7180</v>
      </c>
      <c r="C13" s="993">
        <f>SUM(C14:C15)</f>
        <v>160</v>
      </c>
      <c r="D13" s="993">
        <f>SUM(D14:D15)</f>
        <v>120</v>
      </c>
      <c r="E13" s="993">
        <f t="shared" si="0"/>
        <v>40</v>
      </c>
    </row>
    <row r="14" spans="1:5" ht="15.75" thickBot="1">
      <c r="A14" s="638" t="s">
        <v>116</v>
      </c>
      <c r="B14" s="631">
        <v>7190</v>
      </c>
      <c r="C14" s="992">
        <f>'15.b'!D14</f>
        <v>12</v>
      </c>
      <c r="D14" s="996"/>
      <c r="E14" s="993">
        <f t="shared" si="0"/>
        <v>12</v>
      </c>
    </row>
    <row r="15" spans="1:5" ht="15.75" thickBot="1">
      <c r="A15" s="638" t="s">
        <v>1591</v>
      </c>
      <c r="B15" s="631">
        <v>7200</v>
      </c>
      <c r="C15" s="992">
        <f>'15.a'!H14+'15.b'!I14-'15.b'!D14</f>
        <v>148</v>
      </c>
      <c r="D15" s="992">
        <f>'15.a'!H15+'15.b'!I15</f>
        <v>120</v>
      </c>
      <c r="E15" s="993">
        <f t="shared" si="0"/>
        <v>28</v>
      </c>
    </row>
    <row r="16" spans="1:5" ht="30.75" thickBot="1">
      <c r="A16" s="637" t="s">
        <v>118</v>
      </c>
      <c r="B16" s="631">
        <v>7210</v>
      </c>
      <c r="C16" s="997">
        <v>60</v>
      </c>
      <c r="D16" s="997">
        <v>20</v>
      </c>
      <c r="E16" s="993">
        <f t="shared" si="0"/>
        <v>40</v>
      </c>
    </row>
    <row r="17" spans="1:9" ht="15.75" thickBot="1">
      <c r="A17" s="637" t="s">
        <v>1591</v>
      </c>
      <c r="B17" s="631">
        <v>7220</v>
      </c>
      <c r="C17" s="997">
        <v>60</v>
      </c>
      <c r="D17" s="997">
        <v>20</v>
      </c>
      <c r="E17" s="993">
        <f t="shared" si="0"/>
        <v>40</v>
      </c>
    </row>
    <row r="18" spans="1:9" ht="15.75" thickBot="1">
      <c r="A18" s="633" t="s">
        <v>1059</v>
      </c>
      <c r="B18" s="152">
        <v>7299</v>
      </c>
      <c r="C18" s="993">
        <f>SUM(C10,C5)</f>
        <v>650</v>
      </c>
      <c r="D18" s="993">
        <f>SUM(D10,D5)</f>
        <v>290</v>
      </c>
      <c r="E18" s="993">
        <f>C18-D18</f>
        <v>360</v>
      </c>
    </row>
    <row r="19" spans="1:9" ht="30.75" thickBot="1">
      <c r="A19" s="498" t="s">
        <v>305</v>
      </c>
      <c r="B19" s="632">
        <v>7300</v>
      </c>
      <c r="C19" s="1225"/>
      <c r="D19" s="1225"/>
      <c r="E19" s="997">
        <v>14</v>
      </c>
    </row>
    <row r="22" spans="1:9" s="12" customFormat="1" ht="13.5">
      <c r="A22" s="41"/>
      <c r="B22" s="37">
        <v>10</v>
      </c>
      <c r="C22" s="28" t="b">
        <f>E5=C5-D5</f>
        <v>1</v>
      </c>
      <c r="D22" s="29" t="s">
        <v>1939</v>
      </c>
    </row>
    <row r="23" spans="1:9" s="12" customFormat="1" ht="13.5">
      <c r="A23" s="41"/>
      <c r="B23" s="37">
        <v>20</v>
      </c>
      <c r="C23" s="28" t="b">
        <f>E7=C7-D7</f>
        <v>1</v>
      </c>
      <c r="D23" s="29" t="s">
        <v>1940</v>
      </c>
    </row>
    <row r="24" spans="1:9" s="12" customFormat="1" ht="13.5">
      <c r="A24" s="41"/>
      <c r="B24" s="37">
        <v>30</v>
      </c>
      <c r="C24" s="28" t="b">
        <f t="shared" ref="C24:C29" si="1">E8=C8-D8</f>
        <v>1</v>
      </c>
      <c r="D24" s="29" t="s">
        <v>1941</v>
      </c>
    </row>
    <row r="25" spans="1:9" s="12" customFormat="1" ht="13.5">
      <c r="A25" s="41"/>
      <c r="B25" s="37">
        <v>40</v>
      </c>
      <c r="C25" s="28" t="b">
        <f t="shared" si="1"/>
        <v>1</v>
      </c>
      <c r="D25" s="29" t="s">
        <v>1942</v>
      </c>
    </row>
    <row r="26" spans="1:9" s="12" customFormat="1" ht="13.5">
      <c r="A26" s="41"/>
      <c r="B26" s="37">
        <v>50</v>
      </c>
      <c r="C26" s="28" t="b">
        <f t="shared" si="1"/>
        <v>1</v>
      </c>
      <c r="D26" s="29" t="s">
        <v>1943</v>
      </c>
    </row>
    <row r="27" spans="1:9" s="12" customFormat="1" ht="13.5">
      <c r="A27" s="41"/>
      <c r="B27" s="37">
        <v>60</v>
      </c>
      <c r="C27" s="28" t="b">
        <f t="shared" si="1"/>
        <v>1</v>
      </c>
      <c r="D27" s="29" t="s">
        <v>1944</v>
      </c>
    </row>
    <row r="28" spans="1:9" s="12" customFormat="1" ht="13.5">
      <c r="A28" s="41"/>
      <c r="B28" s="37">
        <v>70</v>
      </c>
      <c r="C28" s="28" t="b">
        <f t="shared" si="1"/>
        <v>1</v>
      </c>
      <c r="D28" s="29" t="s">
        <v>1945</v>
      </c>
    </row>
    <row r="29" spans="1:9" s="12" customFormat="1" ht="13.5">
      <c r="A29" s="41"/>
      <c r="B29" s="37">
        <v>80</v>
      </c>
      <c r="C29" s="28" t="b">
        <f t="shared" si="1"/>
        <v>1</v>
      </c>
      <c r="D29" s="29" t="s">
        <v>1946</v>
      </c>
    </row>
    <row r="30" spans="1:9" s="12" customFormat="1" ht="13.5">
      <c r="A30" s="41"/>
      <c r="B30" s="37">
        <v>90</v>
      </c>
      <c r="C30" s="28" t="b">
        <f>E15=C15-D15</f>
        <v>1</v>
      </c>
      <c r="D30" s="29" t="s">
        <v>1947</v>
      </c>
      <c r="I30" s="51"/>
    </row>
    <row r="31" spans="1:9" s="12" customFormat="1" ht="13.5">
      <c r="A31" s="41"/>
      <c r="B31" s="37">
        <v>100</v>
      </c>
      <c r="C31" s="28" t="b">
        <f>E16=C16-D16</f>
        <v>1</v>
      </c>
      <c r="D31" s="29" t="s">
        <v>1948</v>
      </c>
    </row>
    <row r="32" spans="1:9" s="12" customFormat="1" ht="13.5">
      <c r="A32" s="41"/>
      <c r="B32" s="37">
        <v>110</v>
      </c>
      <c r="C32" s="28" t="b">
        <f>E17=C17-D17</f>
        <v>1</v>
      </c>
      <c r="D32" s="29" t="s">
        <v>1949</v>
      </c>
    </row>
    <row r="33" spans="1:7" s="12" customFormat="1" ht="13.5">
      <c r="A33" s="41"/>
      <c r="B33" s="37">
        <v>120</v>
      </c>
      <c r="C33" s="28" t="b">
        <f>E18=C18-D18</f>
        <v>1</v>
      </c>
      <c r="D33" s="29" t="s">
        <v>1950</v>
      </c>
    </row>
    <row r="34" spans="1:7" s="12" customFormat="1" ht="13.5">
      <c r="A34" s="41"/>
      <c r="B34" s="37">
        <v>130</v>
      </c>
      <c r="C34" s="28" t="b">
        <f>C5=SUM(C6:C9)</f>
        <v>1</v>
      </c>
      <c r="D34" s="29" t="s">
        <v>1951</v>
      </c>
    </row>
    <row r="35" spans="1:7" s="12" customFormat="1" ht="13.5">
      <c r="A35" s="41"/>
      <c r="B35" s="37">
        <v>140</v>
      </c>
      <c r="C35" s="28" t="b">
        <f>D5=SUM(D7:D9)</f>
        <v>1</v>
      </c>
      <c r="D35" s="29" t="s">
        <v>1952</v>
      </c>
    </row>
    <row r="36" spans="1:7" s="12" customFormat="1" ht="13.5">
      <c r="A36" s="41"/>
      <c r="B36" s="37">
        <v>150</v>
      </c>
      <c r="C36" s="28" t="b">
        <f>E5=SUM(E6:E9)</f>
        <v>1</v>
      </c>
      <c r="D36" s="29" t="s">
        <v>2617</v>
      </c>
    </row>
    <row r="37" spans="1:7" s="12" customFormat="1" ht="13.5">
      <c r="A37" s="41"/>
      <c r="B37" s="37">
        <v>160</v>
      </c>
      <c r="C37" s="28" t="b">
        <f>C10=C11+C12+C13+C16+C17</f>
        <v>1</v>
      </c>
      <c r="D37" s="29" t="s">
        <v>2618</v>
      </c>
    </row>
    <row r="38" spans="1:7" s="12" customFormat="1" ht="13.5">
      <c r="A38" s="41"/>
      <c r="B38" s="37">
        <v>170</v>
      </c>
      <c r="C38" s="28" t="b">
        <f>D10=D11+D12+D13+D16+D17</f>
        <v>1</v>
      </c>
      <c r="D38" s="29" t="s">
        <v>2619</v>
      </c>
    </row>
    <row r="39" spans="1:7" s="12" customFormat="1" ht="13.5">
      <c r="A39" s="41"/>
      <c r="B39" s="37">
        <v>180</v>
      </c>
      <c r="C39" s="28" t="b">
        <f>E10=E11+E12+E13+E16+E17</f>
        <v>1</v>
      </c>
      <c r="D39" s="29" t="s">
        <v>2620</v>
      </c>
    </row>
    <row r="40" spans="1:7" s="12" customFormat="1" ht="13.5">
      <c r="A40" s="41"/>
      <c r="B40" s="37">
        <v>190</v>
      </c>
      <c r="C40" s="28" t="b">
        <f>C18=C5+C10</f>
        <v>1</v>
      </c>
      <c r="D40" s="29" t="s">
        <v>2621</v>
      </c>
    </row>
    <row r="41" spans="1:7" s="12" customFormat="1" ht="13.5">
      <c r="A41" s="41"/>
      <c r="B41" s="37">
        <v>200</v>
      </c>
      <c r="C41" s="28" t="b">
        <f>D18=D5+D10</f>
        <v>1</v>
      </c>
      <c r="D41" s="29" t="s">
        <v>2622</v>
      </c>
    </row>
    <row r="42" spans="1:7" s="12" customFormat="1" ht="13.5">
      <c r="A42" s="41"/>
      <c r="B42" s="37">
        <v>210</v>
      </c>
      <c r="C42" s="28" t="b">
        <f>E18=E5+E10</f>
        <v>1</v>
      </c>
      <c r="D42" s="29" t="s">
        <v>2623</v>
      </c>
    </row>
    <row r="43" spans="1:7" s="12" customFormat="1" ht="13.5">
      <c r="A43" s="41"/>
      <c r="B43" s="37">
        <v>220</v>
      </c>
      <c r="C43" s="28" t="b">
        <f>C13=C14+C15</f>
        <v>1</v>
      </c>
      <c r="D43" s="29" t="s">
        <v>2624</v>
      </c>
    </row>
    <row r="44" spans="1:7" s="12" customFormat="1" ht="13.5">
      <c r="A44" s="41"/>
      <c r="B44" s="37">
        <v>230</v>
      </c>
      <c r="C44" s="28" t="b">
        <f>D13=D15</f>
        <v>1</v>
      </c>
      <c r="D44" s="29" t="s">
        <v>2625</v>
      </c>
    </row>
    <row r="45" spans="1:7" s="12" customFormat="1" ht="13.5">
      <c r="A45" s="41"/>
      <c r="B45" s="37">
        <v>240</v>
      </c>
      <c r="C45" s="28" t="b">
        <f>E13=E14+E15</f>
        <v>1</v>
      </c>
      <c r="D45" s="29" t="s">
        <v>2626</v>
      </c>
    </row>
    <row r="46" spans="1:7" s="12" customFormat="1" ht="13.5">
      <c r="A46" s="41"/>
      <c r="B46" s="37">
        <v>250</v>
      </c>
      <c r="C46" s="28" t="b">
        <f>E18 ='2.0'!E59</f>
        <v>1</v>
      </c>
      <c r="D46" s="29" t="s">
        <v>2627</v>
      </c>
      <c r="E46" s="41"/>
      <c r="F46" s="41"/>
      <c r="G46" s="41"/>
    </row>
    <row r="47" spans="1:7" ht="13.5">
      <c r="B47" s="37">
        <v>280</v>
      </c>
      <c r="C47" s="28" t="b">
        <f>C12='14.A'!D11</f>
        <v>1</v>
      </c>
      <c r="D47" s="29" t="s">
        <v>1573</v>
      </c>
    </row>
    <row r="48" spans="1:7" ht="13.5">
      <c r="B48" s="37">
        <v>290</v>
      </c>
      <c r="C48" s="28" t="b">
        <f>D12='14.A'!D12</f>
        <v>1</v>
      </c>
      <c r="D48" s="29" t="s">
        <v>1574</v>
      </c>
    </row>
    <row r="49" spans="2:4" ht="13.5">
      <c r="B49" s="37"/>
      <c r="C49" s="28"/>
      <c r="D49" s="29"/>
    </row>
    <row r="50" spans="2:4" ht="13.5">
      <c r="B50" s="37"/>
      <c r="C50" s="28"/>
      <c r="D50" s="29"/>
    </row>
    <row r="51" spans="2:4" ht="13.5">
      <c r="B51" s="37"/>
      <c r="C51" s="28"/>
      <c r="D51" s="29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19:D19"/>
  </mergeCells>
  <phoneticPr fontId="0" type="noConversion"/>
  <pageMargins left="0.75" right="0.75" top="1" bottom="1" header="0.5" footer="0.5"/>
  <pageSetup paperSize="8" scale="150" orientation="portrait" r:id="rId4"/>
  <headerFooter alignWithMargins="0">
    <oddHeader>&amp;C37.A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Normal="100" zoomScaleSheetLayoutView="100" workbookViewId="0"/>
  </sheetViews>
  <sheetFormatPr defaultRowHeight="12.75"/>
  <cols>
    <col min="1" max="1" width="49.140625" customWidth="1"/>
    <col min="2" max="2" width="8.5703125" customWidth="1"/>
    <col min="3" max="3" width="18.28515625" customWidth="1"/>
    <col min="13" max="13" width="40.28515625" bestFit="1" customWidth="1"/>
    <col min="14" max="14" width="6.5703125" bestFit="1" customWidth="1"/>
    <col min="15" max="15" width="3.5703125" bestFit="1" customWidth="1"/>
    <col min="16" max="16" width="8.140625" bestFit="1" customWidth="1"/>
    <col min="17" max="17" width="8.140625" customWidth="1"/>
    <col min="18" max="18" width="7.7109375" customWidth="1"/>
    <col min="19" max="20" width="5.7109375" bestFit="1" customWidth="1"/>
    <col min="21" max="21" width="3.5703125" bestFit="1" customWidth="1"/>
    <col min="22" max="23" width="8.140625" bestFit="1" customWidth="1"/>
  </cols>
  <sheetData>
    <row r="1" spans="1:23" s="5" customFormat="1" ht="16.5" thickBot="1">
      <c r="A1" s="477" t="s">
        <v>998</v>
      </c>
      <c r="B1" s="52"/>
      <c r="C1" s="279"/>
      <c r="D1" s="279"/>
      <c r="E1" s="279"/>
      <c r="F1" s="279"/>
      <c r="G1" s="279"/>
      <c r="H1" s="279"/>
      <c r="I1" s="279"/>
      <c r="J1" s="279"/>
      <c r="K1" s="279"/>
      <c r="M1" s="94"/>
      <c r="N1" s="94"/>
      <c r="O1" s="99"/>
      <c r="P1" s="100"/>
      <c r="Q1" s="100"/>
      <c r="R1" s="100"/>
      <c r="S1" s="100"/>
      <c r="T1" s="100"/>
      <c r="U1" s="99"/>
      <c r="V1" s="100"/>
      <c r="W1" s="100"/>
    </row>
    <row r="2" spans="1:23" ht="135" customHeight="1" thickBot="1">
      <c r="A2" s="374" t="s">
        <v>999</v>
      </c>
      <c r="B2" s="55"/>
      <c r="C2" s="271" t="s">
        <v>1485</v>
      </c>
      <c r="D2" s="271" t="s">
        <v>2371</v>
      </c>
      <c r="E2" s="271" t="s">
        <v>2372</v>
      </c>
      <c r="F2" s="271" t="s">
        <v>2373</v>
      </c>
      <c r="G2" s="271" t="s">
        <v>2374</v>
      </c>
      <c r="H2" s="271" t="s">
        <v>2375</v>
      </c>
      <c r="I2" s="271" t="s">
        <v>1511</v>
      </c>
      <c r="J2" s="271" t="s">
        <v>1074</v>
      </c>
      <c r="K2" s="271" t="s">
        <v>621</v>
      </c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</row>
    <row r="3" spans="1:23" ht="15.75" thickBot="1">
      <c r="A3" s="1231" t="s">
        <v>655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3"/>
      <c r="M3" s="7"/>
      <c r="N3" s="7"/>
      <c r="O3" s="96"/>
      <c r="P3" s="96"/>
      <c r="Q3" s="96"/>
      <c r="R3" s="96"/>
      <c r="S3" s="96"/>
      <c r="T3" s="96"/>
      <c r="U3" s="96"/>
      <c r="V3" s="96"/>
      <c r="W3" s="96"/>
    </row>
    <row r="4" spans="1:23" ht="15.75" thickBot="1">
      <c r="A4" s="306"/>
      <c r="B4" s="276" t="s">
        <v>1135</v>
      </c>
      <c r="C4" s="318" t="s">
        <v>1013</v>
      </c>
      <c r="D4" s="586" t="s">
        <v>1014</v>
      </c>
      <c r="E4" s="318" t="s">
        <v>1015</v>
      </c>
      <c r="F4" s="586" t="s">
        <v>1016</v>
      </c>
      <c r="G4" s="318" t="s">
        <v>525</v>
      </c>
      <c r="H4" s="586" t="s">
        <v>526</v>
      </c>
      <c r="I4" s="318" t="s">
        <v>1415</v>
      </c>
      <c r="J4" s="586" t="s">
        <v>1118</v>
      </c>
      <c r="K4" s="318" t="s">
        <v>1126</v>
      </c>
      <c r="M4" s="1227"/>
      <c r="N4" s="1227"/>
      <c r="O4" s="1227"/>
      <c r="P4" s="1227"/>
      <c r="Q4" s="1227"/>
      <c r="R4" s="1227"/>
      <c r="S4" s="1227"/>
      <c r="T4" s="1227"/>
      <c r="U4" s="1227"/>
      <c r="V4" s="1227"/>
      <c r="W4" s="1227"/>
    </row>
    <row r="5" spans="1:23" ht="15.75" customHeight="1" thickBot="1">
      <c r="A5" s="1228" t="s">
        <v>2199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30"/>
      <c r="M5" s="97"/>
      <c r="N5" s="95"/>
      <c r="O5" s="8"/>
      <c r="P5" s="8"/>
      <c r="Q5" s="8"/>
      <c r="R5" s="8"/>
      <c r="S5" s="8"/>
      <c r="T5" s="8"/>
      <c r="U5" s="8"/>
      <c r="V5" s="8"/>
      <c r="W5" s="8"/>
    </row>
    <row r="6" spans="1:23" ht="13.5" thickBot="1">
      <c r="A6" s="998"/>
      <c r="B6" s="999">
        <v>7101</v>
      </c>
      <c r="C6" s="1000">
        <v>450</v>
      </c>
      <c r="D6" s="1000">
        <v>40</v>
      </c>
      <c r="E6" s="1000">
        <v>10</v>
      </c>
      <c r="F6" s="1000">
        <v>95</v>
      </c>
      <c r="G6" s="1000">
        <v>-15</v>
      </c>
      <c r="H6" s="1000">
        <v>5</v>
      </c>
      <c r="I6" s="1001">
        <f>C6-D6+E6-F6+G6+H6</f>
        <v>315</v>
      </c>
      <c r="J6" s="1000">
        <v>10</v>
      </c>
      <c r="K6" s="1000">
        <v>180</v>
      </c>
      <c r="M6" s="97"/>
      <c r="N6" s="95"/>
      <c r="O6" s="8"/>
      <c r="P6" s="8"/>
      <c r="Q6" s="8"/>
      <c r="R6" s="8"/>
      <c r="S6" s="8"/>
      <c r="T6" s="8"/>
      <c r="U6" s="8"/>
      <c r="V6" s="8"/>
      <c r="W6" s="8"/>
    </row>
    <row r="7" spans="1:23" ht="15.75" customHeight="1" thickBot="1">
      <c r="A7" s="1228" t="s">
        <v>2200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30"/>
      <c r="M7" s="97"/>
      <c r="N7" s="95"/>
      <c r="O7" s="8"/>
      <c r="P7" s="8"/>
      <c r="Q7" s="8"/>
      <c r="R7" s="8"/>
      <c r="S7" s="8"/>
      <c r="T7" s="8"/>
      <c r="U7" s="8"/>
      <c r="V7" s="8"/>
      <c r="W7" s="8"/>
    </row>
    <row r="8" spans="1:23" ht="13.5" thickBot="1">
      <c r="A8" s="1002"/>
      <c r="B8" s="1003">
        <v>7201</v>
      </c>
      <c r="C8" s="1000">
        <v>150</v>
      </c>
      <c r="D8" s="1000">
        <v>20</v>
      </c>
      <c r="E8" s="1000">
        <v>5</v>
      </c>
      <c r="F8" s="1000">
        <v>40</v>
      </c>
      <c r="G8" s="1000">
        <v>10</v>
      </c>
      <c r="H8" s="1000">
        <v>-5</v>
      </c>
      <c r="I8" s="1001">
        <f>C8-D8+E8-F8+G8+H8</f>
        <v>100</v>
      </c>
      <c r="J8" s="1000">
        <v>15</v>
      </c>
      <c r="K8" s="1000">
        <v>190</v>
      </c>
      <c r="M8" s="97"/>
      <c r="N8" s="95"/>
      <c r="O8" s="8"/>
      <c r="P8" s="8"/>
      <c r="Q8" s="8"/>
      <c r="R8" s="8"/>
      <c r="S8" s="8"/>
      <c r="T8" s="8"/>
      <c r="U8" s="8"/>
      <c r="V8" s="8"/>
      <c r="W8" s="8"/>
    </row>
    <row r="9" spans="1:23" ht="13.5" thickBot="1">
      <c r="A9" s="1004" t="s">
        <v>1852</v>
      </c>
      <c r="B9" s="1003">
        <v>7999</v>
      </c>
      <c r="C9" s="1000">
        <f>C6+C8</f>
        <v>600</v>
      </c>
      <c r="D9" s="1000">
        <f t="shared" ref="D9:K9" si="0">D6+D8</f>
        <v>60</v>
      </c>
      <c r="E9" s="1000">
        <f t="shared" si="0"/>
        <v>15</v>
      </c>
      <c r="F9" s="1000">
        <f t="shared" si="0"/>
        <v>135</v>
      </c>
      <c r="G9" s="1000">
        <f t="shared" si="0"/>
        <v>-5</v>
      </c>
      <c r="H9" s="1000">
        <f t="shared" si="0"/>
        <v>0</v>
      </c>
      <c r="I9" s="1001">
        <f>C9-D9+E9-F9+G9+H9</f>
        <v>415</v>
      </c>
      <c r="J9" s="1000">
        <f t="shared" si="0"/>
        <v>25</v>
      </c>
      <c r="K9" s="1000">
        <f t="shared" si="0"/>
        <v>370</v>
      </c>
      <c r="M9" s="97"/>
      <c r="N9" s="95"/>
      <c r="O9" s="8"/>
      <c r="P9" s="8"/>
      <c r="Q9" s="8"/>
      <c r="R9" s="8"/>
      <c r="S9" s="8"/>
      <c r="T9" s="8"/>
      <c r="U9" s="8"/>
      <c r="V9" s="8"/>
      <c r="W9" s="8"/>
    </row>
    <row r="10" spans="1:23" ht="15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M10" s="97"/>
      <c r="N10" s="95"/>
      <c r="O10" s="8"/>
      <c r="P10" s="8"/>
      <c r="Q10" s="8"/>
      <c r="R10" s="8"/>
      <c r="S10" s="8"/>
      <c r="T10" s="8"/>
      <c r="U10" s="8"/>
      <c r="V10" s="8"/>
      <c r="W10" s="8"/>
    </row>
    <row r="11" spans="1:23" ht="15">
      <c r="A11" s="279" t="s">
        <v>2201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M11" s="97"/>
      <c r="N11" s="95"/>
      <c r="O11" s="8"/>
      <c r="P11" s="8"/>
      <c r="Q11" s="8"/>
      <c r="R11" s="8"/>
      <c r="S11" s="8"/>
      <c r="T11" s="8"/>
      <c r="U11" s="8"/>
      <c r="V11" s="8"/>
      <c r="W11" s="8"/>
    </row>
    <row r="12" spans="1:23">
      <c r="A12" s="15"/>
      <c r="B12" s="15"/>
      <c r="M12" s="97"/>
      <c r="N12" s="95"/>
      <c r="O12" s="8"/>
      <c r="P12" s="8"/>
      <c r="Q12" s="8"/>
      <c r="R12" s="8"/>
      <c r="S12" s="8"/>
      <c r="T12" s="8"/>
      <c r="U12" s="8"/>
      <c r="V12" s="8"/>
      <c r="W12" s="8"/>
    </row>
    <row r="13" spans="1:23">
      <c r="A13" s="2"/>
      <c r="M13" s="97"/>
      <c r="N13" s="95"/>
      <c r="O13" s="8"/>
      <c r="P13" s="8"/>
      <c r="Q13" s="8"/>
      <c r="R13" s="8"/>
      <c r="S13" s="8"/>
      <c r="T13" s="8"/>
      <c r="U13" s="8"/>
      <c r="V13" s="8"/>
      <c r="W13" s="8"/>
    </row>
    <row r="14" spans="1:23" s="12" customFormat="1" ht="13.5">
      <c r="A14" s="41"/>
      <c r="B14" s="37">
        <v>330</v>
      </c>
      <c r="C14" s="28" t="b">
        <f>C9=C6+C8</f>
        <v>1</v>
      </c>
      <c r="D14" s="29" t="s">
        <v>1575</v>
      </c>
    </row>
    <row r="15" spans="1:23" s="12" customFormat="1" ht="13.5">
      <c r="A15" s="41"/>
      <c r="B15" s="37">
        <v>340</v>
      </c>
      <c r="C15" s="28" t="b">
        <f>D9=D6+D8</f>
        <v>1</v>
      </c>
      <c r="D15" s="29" t="s">
        <v>1576</v>
      </c>
    </row>
    <row r="16" spans="1:23" s="12" customFormat="1" ht="13.5">
      <c r="A16" s="41"/>
      <c r="B16" s="37">
        <v>350</v>
      </c>
      <c r="C16" s="28" t="b">
        <f>E9=E6+E8</f>
        <v>1</v>
      </c>
      <c r="D16" s="29" t="s">
        <v>1577</v>
      </c>
    </row>
    <row r="17" spans="1:23" s="12" customFormat="1" ht="13.5">
      <c r="A17" s="41"/>
      <c r="B17" s="37">
        <v>360</v>
      </c>
      <c r="C17" s="28" t="b">
        <f>F9=F6+F8</f>
        <v>1</v>
      </c>
      <c r="D17" s="29" t="s">
        <v>1578</v>
      </c>
    </row>
    <row r="18" spans="1:23" s="12" customFormat="1" ht="13.5">
      <c r="A18" s="41"/>
      <c r="B18" s="37">
        <v>370</v>
      </c>
      <c r="C18" s="28" t="b">
        <f>G9=G6+G8</f>
        <v>1</v>
      </c>
      <c r="D18" s="29" t="s">
        <v>1579</v>
      </c>
    </row>
    <row r="19" spans="1:23" s="12" customFormat="1" ht="13.5">
      <c r="A19" s="41"/>
      <c r="B19" s="37">
        <v>380</v>
      </c>
      <c r="C19" s="28" t="b">
        <f>H9=H6+H8</f>
        <v>1</v>
      </c>
      <c r="D19" s="29" t="s">
        <v>1580</v>
      </c>
    </row>
    <row r="20" spans="1:23" s="12" customFormat="1" ht="13.5">
      <c r="A20" s="41"/>
      <c r="B20" s="37">
        <v>390</v>
      </c>
      <c r="C20" s="28" t="b">
        <f>I9=I6+I8</f>
        <v>1</v>
      </c>
      <c r="D20" s="29" t="s">
        <v>1581</v>
      </c>
    </row>
    <row r="21" spans="1:23" s="12" customFormat="1" ht="13.5">
      <c r="A21" s="41"/>
      <c r="B21" s="37">
        <v>400</v>
      </c>
      <c r="C21" s="28" t="b">
        <f>J9=J6+J8</f>
        <v>1</v>
      </c>
      <c r="D21" s="29" t="s">
        <v>1582</v>
      </c>
    </row>
    <row r="22" spans="1:23" s="12" customFormat="1" ht="13.5">
      <c r="A22" s="41"/>
      <c r="B22" s="37">
        <v>410</v>
      </c>
      <c r="C22" s="28" t="b">
        <f>K9=K6+K8</f>
        <v>1</v>
      </c>
      <c r="D22" s="29" t="s">
        <v>1583</v>
      </c>
    </row>
    <row r="23" spans="1:23" s="12" customFormat="1" ht="13.5">
      <c r="A23" s="41"/>
      <c r="B23" s="37">
        <v>420</v>
      </c>
      <c r="C23" s="28" t="b">
        <f>I6=C6-D6+E6-F6+G6+H6</f>
        <v>1</v>
      </c>
      <c r="D23" s="29" t="s">
        <v>1584</v>
      </c>
    </row>
    <row r="24" spans="1:23" s="12" customFormat="1" ht="13.5">
      <c r="A24" s="41"/>
      <c r="B24" s="37">
        <v>430</v>
      </c>
      <c r="C24" s="28" t="b">
        <f>I8=C8-D8+E8-F8+G8+H8</f>
        <v>1</v>
      </c>
      <c r="D24" s="29" t="s">
        <v>1585</v>
      </c>
    </row>
    <row r="25" spans="1:23" s="12" customFormat="1" ht="13.5">
      <c r="A25" s="41"/>
      <c r="B25" s="37">
        <v>440</v>
      </c>
      <c r="C25" s="28" t="b">
        <f>I9=C9-D9+E9-F9+G9+H9</f>
        <v>1</v>
      </c>
      <c r="D25" s="29" t="s">
        <v>1586</v>
      </c>
    </row>
    <row r="26" spans="1:23">
      <c r="A26" s="97"/>
      <c r="B26" s="95"/>
      <c r="C26" s="8"/>
      <c r="D26" s="8"/>
      <c r="E26" s="8"/>
      <c r="F26" s="8"/>
      <c r="G26" s="8"/>
      <c r="H26" s="8"/>
      <c r="I26" s="8"/>
      <c r="J26" s="8"/>
      <c r="K26" s="8"/>
      <c r="M26" s="97"/>
      <c r="N26" s="95"/>
      <c r="O26" s="8"/>
      <c r="P26" s="8"/>
      <c r="Q26" s="8"/>
      <c r="R26" s="8"/>
      <c r="S26" s="8"/>
      <c r="T26" s="8"/>
      <c r="U26" s="8"/>
      <c r="V26" s="8"/>
      <c r="W26" s="8"/>
    </row>
    <row r="27" spans="1:23">
      <c r="A27" s="97"/>
      <c r="B27" s="95"/>
      <c r="C27" s="8"/>
      <c r="D27" s="8"/>
      <c r="E27" s="8"/>
      <c r="F27" s="8"/>
      <c r="G27" s="8"/>
      <c r="H27" s="8"/>
      <c r="I27" s="8"/>
      <c r="J27" s="8"/>
      <c r="K27" s="8"/>
      <c r="M27" s="97"/>
      <c r="N27" s="95"/>
      <c r="O27" s="8"/>
      <c r="P27" s="8"/>
      <c r="Q27" s="8"/>
      <c r="R27" s="8"/>
      <c r="S27" s="8"/>
      <c r="T27" s="8"/>
      <c r="U27" s="8"/>
      <c r="V27" s="8"/>
      <c r="W27" s="8"/>
    </row>
    <row r="28" spans="1:23">
      <c r="A28" s="97"/>
      <c r="B28" s="95"/>
      <c r="C28" s="8"/>
      <c r="D28" s="8"/>
      <c r="E28" s="8"/>
      <c r="F28" s="8"/>
      <c r="G28" s="8"/>
      <c r="H28" s="8"/>
      <c r="I28" s="8"/>
      <c r="J28" s="8"/>
      <c r="K28" s="8"/>
      <c r="M28" s="97"/>
      <c r="N28" s="95"/>
      <c r="O28" s="8"/>
      <c r="P28" s="8"/>
      <c r="Q28" s="8"/>
      <c r="R28" s="8"/>
      <c r="S28" s="8"/>
      <c r="T28" s="8"/>
      <c r="U28" s="8"/>
      <c r="V28" s="8"/>
      <c r="W28" s="8"/>
    </row>
    <row r="29" spans="1:23">
      <c r="A29" s="97"/>
      <c r="B29" s="95"/>
      <c r="C29" s="8"/>
      <c r="D29" s="8"/>
      <c r="E29" s="8"/>
      <c r="F29" s="8"/>
      <c r="G29" s="8"/>
      <c r="H29" s="8"/>
      <c r="I29" s="8"/>
      <c r="J29" s="8"/>
      <c r="K29" s="8"/>
      <c r="M29" s="97"/>
      <c r="N29" s="95"/>
      <c r="O29" s="8"/>
      <c r="P29" s="8"/>
      <c r="Q29" s="8"/>
      <c r="R29" s="8"/>
      <c r="S29" s="8"/>
      <c r="T29" s="8"/>
      <c r="U29" s="8"/>
      <c r="V29" s="8"/>
      <c r="W29" s="8"/>
    </row>
    <row r="30" spans="1:23">
      <c r="A30" s="97"/>
      <c r="B30" s="95"/>
      <c r="C30" s="8"/>
      <c r="D30" s="8"/>
      <c r="E30" s="8"/>
      <c r="F30" s="8"/>
      <c r="G30" s="8"/>
      <c r="H30" s="8"/>
      <c r="I30" s="8"/>
      <c r="J30" s="8"/>
      <c r="K30" s="8"/>
      <c r="M30" s="97"/>
      <c r="N30" s="95"/>
      <c r="O30" s="8"/>
      <c r="P30" s="8"/>
      <c r="Q30" s="8"/>
      <c r="R30" s="8"/>
      <c r="S30" s="8"/>
      <c r="T30" s="8"/>
      <c r="U30" s="8"/>
      <c r="V30" s="8"/>
      <c r="W30" s="8"/>
    </row>
    <row r="31" spans="1:23">
      <c r="A31" s="97"/>
      <c r="B31" s="95"/>
      <c r="C31" s="8"/>
      <c r="D31" s="8"/>
      <c r="E31" s="8"/>
      <c r="F31" s="8"/>
      <c r="G31" s="8"/>
      <c r="H31" s="8"/>
      <c r="I31" s="8"/>
      <c r="J31" s="8"/>
      <c r="K31" s="8"/>
      <c r="M31" s="97"/>
      <c r="N31" s="95"/>
      <c r="O31" s="8"/>
      <c r="P31" s="8"/>
      <c r="Q31" s="8"/>
      <c r="R31" s="8"/>
      <c r="S31" s="8"/>
      <c r="T31" s="8"/>
      <c r="U31" s="8"/>
      <c r="V31" s="8"/>
      <c r="W31" s="8"/>
    </row>
    <row r="32" spans="1:23" ht="13.5" customHeight="1">
      <c r="A32" s="1227"/>
      <c r="B32" s="1227"/>
      <c r="C32" s="1227"/>
      <c r="D32" s="1227"/>
      <c r="E32" s="1227"/>
      <c r="F32" s="1227"/>
      <c r="G32" s="1227"/>
      <c r="H32" s="1227"/>
      <c r="I32" s="1227"/>
      <c r="J32" s="1227"/>
      <c r="K32" s="1227"/>
      <c r="M32" s="97"/>
      <c r="N32" s="95"/>
      <c r="O32" s="8"/>
      <c r="P32" s="8"/>
      <c r="Q32" s="8"/>
      <c r="R32" s="8"/>
      <c r="S32" s="8"/>
      <c r="T32" s="8"/>
      <c r="U32" s="8"/>
      <c r="V32" s="8"/>
      <c r="W32" s="8"/>
    </row>
    <row r="33" spans="1:23">
      <c r="A33" s="97"/>
      <c r="B33" s="95"/>
      <c r="C33" s="8"/>
      <c r="D33" s="8"/>
      <c r="E33" s="8"/>
      <c r="F33" s="8"/>
      <c r="G33" s="8"/>
      <c r="H33" s="8"/>
      <c r="I33" s="8"/>
      <c r="J33" s="8"/>
      <c r="K33" s="8"/>
      <c r="M33" s="8"/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>
      <c r="A34" s="97"/>
      <c r="B34" s="95"/>
      <c r="C34" s="8"/>
      <c r="D34" s="8"/>
      <c r="E34" s="8"/>
      <c r="F34" s="8"/>
      <c r="G34" s="8"/>
      <c r="H34" s="8"/>
      <c r="I34" s="8"/>
      <c r="J34" s="8"/>
      <c r="K34" s="8"/>
    </row>
    <row r="35" spans="1:23">
      <c r="A35" s="97"/>
      <c r="B35" s="95"/>
      <c r="C35" s="8"/>
      <c r="D35" s="8"/>
      <c r="E35" s="8"/>
      <c r="F35" s="8"/>
      <c r="G35" s="8"/>
      <c r="H35" s="8"/>
      <c r="I35" s="8"/>
      <c r="J35" s="8"/>
      <c r="K35" s="8"/>
    </row>
    <row r="36" spans="1:23">
      <c r="A36" s="97"/>
      <c r="B36" s="95"/>
      <c r="C36" s="8"/>
      <c r="D36" s="8"/>
      <c r="E36" s="8"/>
      <c r="F36" s="8"/>
      <c r="G36" s="8"/>
      <c r="H36" s="8"/>
      <c r="I36" s="8"/>
      <c r="J36" s="8"/>
      <c r="K36" s="8"/>
    </row>
    <row r="37" spans="1:23">
      <c r="A37" s="97"/>
      <c r="B37" s="95"/>
      <c r="C37" s="8"/>
      <c r="D37" s="8"/>
      <c r="E37" s="8"/>
      <c r="F37" s="8"/>
      <c r="G37" s="8"/>
      <c r="H37" s="8"/>
      <c r="I37" s="8"/>
      <c r="J37" s="8"/>
      <c r="K37" s="8"/>
    </row>
    <row r="38" spans="1:23">
      <c r="A38" s="97"/>
      <c r="B38" s="95"/>
      <c r="C38" s="8"/>
      <c r="D38" s="8"/>
      <c r="E38" s="8"/>
      <c r="F38" s="8"/>
      <c r="G38" s="8"/>
      <c r="H38" s="8"/>
      <c r="I38" s="8"/>
      <c r="J38" s="8"/>
      <c r="K38" s="8"/>
    </row>
    <row r="39" spans="1:23">
      <c r="A39" s="97"/>
      <c r="B39" s="95"/>
      <c r="C39" s="8"/>
      <c r="D39" s="8"/>
      <c r="E39" s="8"/>
      <c r="F39" s="8"/>
      <c r="G39" s="8"/>
      <c r="H39" s="8"/>
      <c r="I39" s="8"/>
      <c r="J39" s="8"/>
      <c r="K39" s="8"/>
    </row>
    <row r="40" spans="1:23">
      <c r="A40" s="97"/>
      <c r="B40" s="95"/>
      <c r="C40" s="8"/>
      <c r="D40" s="8"/>
      <c r="E40" s="8"/>
      <c r="F40" s="8"/>
      <c r="G40" s="8"/>
      <c r="H40" s="8"/>
      <c r="I40" s="8"/>
      <c r="J40" s="8"/>
      <c r="K40" s="8"/>
    </row>
    <row r="41" spans="1:23">
      <c r="A41" s="97"/>
      <c r="B41" s="95"/>
      <c r="C41" s="8"/>
      <c r="D41" s="8"/>
      <c r="E41" s="8"/>
      <c r="F41" s="8"/>
      <c r="G41" s="8"/>
      <c r="H41" s="8"/>
      <c r="I41" s="8"/>
      <c r="J41" s="8"/>
      <c r="K41" s="8"/>
    </row>
    <row r="42" spans="1:23">
      <c r="A42" s="97"/>
      <c r="B42" s="95"/>
      <c r="C42" s="8"/>
      <c r="D42" s="8"/>
      <c r="E42" s="8"/>
      <c r="F42" s="8"/>
      <c r="G42" s="8"/>
      <c r="H42" s="8"/>
      <c r="I42" s="8"/>
      <c r="J42" s="8"/>
      <c r="K42" s="8"/>
    </row>
    <row r="43" spans="1:23">
      <c r="A43" s="97"/>
      <c r="B43" s="95"/>
      <c r="C43" s="8"/>
      <c r="D43" s="8"/>
      <c r="E43" s="8"/>
      <c r="F43" s="8"/>
      <c r="G43" s="8"/>
      <c r="H43" s="8"/>
      <c r="I43" s="8"/>
      <c r="J43" s="8"/>
      <c r="K43" s="8"/>
    </row>
    <row r="44" spans="1:23">
      <c r="A44" s="97"/>
      <c r="B44" s="95"/>
      <c r="C44" s="8"/>
      <c r="D44" s="8"/>
      <c r="E44" s="8"/>
      <c r="F44" s="8"/>
      <c r="G44" s="8"/>
      <c r="H44" s="8"/>
      <c r="I44" s="8"/>
      <c r="J44" s="8"/>
      <c r="K44" s="8"/>
    </row>
    <row r="45" spans="1:23">
      <c r="A45" s="97"/>
      <c r="B45" s="95"/>
      <c r="C45" s="8"/>
      <c r="D45" s="8"/>
      <c r="E45" s="8"/>
      <c r="F45" s="8"/>
      <c r="G45" s="8"/>
      <c r="H45" s="8"/>
      <c r="I45" s="8"/>
      <c r="J45" s="8"/>
      <c r="K45" s="8"/>
    </row>
    <row r="46" spans="1:23">
      <c r="A46" s="8"/>
      <c r="B46" s="7"/>
      <c r="C46" s="8"/>
      <c r="D46" s="8"/>
      <c r="E46" s="8"/>
      <c r="F46" s="8"/>
      <c r="G46" s="8"/>
      <c r="H46" s="8"/>
      <c r="I46" s="8"/>
      <c r="J46" s="8"/>
      <c r="K46" s="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A12" sqref="A1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A12" sqref="A12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6">
    <mergeCell ref="M2:W2"/>
    <mergeCell ref="M4:W4"/>
    <mergeCell ref="A32:K32"/>
    <mergeCell ref="A7:K7"/>
    <mergeCell ref="A3:K3"/>
    <mergeCell ref="A5:K5"/>
  </mergeCells>
  <phoneticPr fontId="8" type="noConversion"/>
  <pageMargins left="0.75" right="0.75" top="1" bottom="1" header="0.5" footer="0.5"/>
  <pageSetup paperSize="8" scale="130" orientation="landscape" r:id="rId4"/>
  <headerFooter alignWithMargins="0">
    <oddHeader>&amp;C37.B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/>
  </sheetViews>
  <sheetFormatPr defaultRowHeight="12.75"/>
  <cols>
    <col min="1" max="1" width="46.5703125" customWidth="1"/>
    <col min="2" max="2" width="10.5703125" bestFit="1" customWidth="1"/>
    <col min="3" max="3" width="9" customWidth="1"/>
    <col min="4" max="4" width="14.7109375" customWidth="1"/>
  </cols>
  <sheetData>
    <row r="1" spans="1:12" s="5" customFormat="1" ht="16.5" thickBot="1">
      <c r="A1" s="477" t="s">
        <v>998</v>
      </c>
      <c r="B1" s="279"/>
      <c r="C1" s="279"/>
      <c r="D1" s="279"/>
      <c r="E1" s="279"/>
    </row>
    <row r="2" spans="1:12" ht="109.5" customHeight="1" thickBot="1">
      <c r="A2" s="374" t="s">
        <v>161</v>
      </c>
      <c r="B2" s="271" t="s">
        <v>622</v>
      </c>
      <c r="C2" s="639"/>
      <c r="D2" s="271" t="s">
        <v>629</v>
      </c>
      <c r="E2" s="279"/>
    </row>
    <row r="3" spans="1:12" ht="15.75" thickBot="1">
      <c r="A3" s="479"/>
      <c r="B3" s="640"/>
      <c r="C3" s="641" t="s">
        <v>1225</v>
      </c>
      <c r="D3" s="519" t="s">
        <v>1013</v>
      </c>
      <c r="E3" s="279"/>
    </row>
    <row r="4" spans="1:12" s="2" customFormat="1" ht="15.75" thickBot="1">
      <c r="A4" s="642" t="s">
        <v>1870</v>
      </c>
      <c r="B4" s="642" t="s">
        <v>623</v>
      </c>
      <c r="C4" s="342">
        <v>7100</v>
      </c>
      <c r="D4" s="1005">
        <v>600</v>
      </c>
      <c r="E4" s="542"/>
    </row>
    <row r="5" spans="1:12" ht="15.75" thickBot="1">
      <c r="A5" s="416" t="s">
        <v>624</v>
      </c>
      <c r="B5" s="65"/>
      <c r="C5" s="360">
        <v>7140</v>
      </c>
      <c r="D5" s="943">
        <v>1000</v>
      </c>
      <c r="E5" s="279"/>
    </row>
    <row r="6" spans="1:12" ht="15.75" thickBot="1">
      <c r="A6" s="416" t="s">
        <v>2601</v>
      </c>
      <c r="B6" s="65" t="s">
        <v>2196</v>
      </c>
      <c r="C6" s="360">
        <v>7200</v>
      </c>
      <c r="D6" s="943">
        <v>2400</v>
      </c>
      <c r="E6" s="279"/>
    </row>
    <row r="7" spans="1:12" ht="15.75" thickBot="1">
      <c r="A7" s="416" t="s">
        <v>162</v>
      </c>
      <c r="B7" s="417" t="s">
        <v>740</v>
      </c>
      <c r="C7" s="360">
        <v>7350</v>
      </c>
      <c r="D7" s="943">
        <v>100</v>
      </c>
      <c r="E7" s="279"/>
    </row>
    <row r="8" spans="1:12" ht="15.75" thickBot="1">
      <c r="A8" s="416" t="s">
        <v>1591</v>
      </c>
      <c r="B8" s="417" t="s">
        <v>740</v>
      </c>
      <c r="C8" s="428">
        <v>7360</v>
      </c>
      <c r="D8" s="943">
        <v>50</v>
      </c>
      <c r="E8" s="279"/>
    </row>
    <row r="9" spans="1:12" ht="15.75" thickBot="1">
      <c r="A9" s="429" t="s">
        <v>1059</v>
      </c>
      <c r="B9" s="643"/>
      <c r="C9" s="452">
        <v>7399</v>
      </c>
      <c r="D9" s="966">
        <f>SUM(D4:D8)</f>
        <v>4150</v>
      </c>
      <c r="E9" s="279"/>
    </row>
    <row r="10" spans="1:12" ht="15.75" thickBot="1">
      <c r="A10" s="467"/>
      <c r="B10" s="644"/>
      <c r="C10" s="644"/>
      <c r="D10" s="1006"/>
      <c r="E10" s="279"/>
    </row>
    <row r="11" spans="1:12" ht="14.25" customHeight="1" thickBot="1">
      <c r="A11" s="351" t="s">
        <v>625</v>
      </c>
      <c r="B11" s="645" t="s">
        <v>626</v>
      </c>
      <c r="C11" s="332">
        <v>7400</v>
      </c>
      <c r="D11" s="966">
        <f>SUM(D12:D13)</f>
        <v>75</v>
      </c>
      <c r="E11" s="279"/>
    </row>
    <row r="12" spans="1:12" ht="15.75" thickBot="1">
      <c r="A12" s="468" t="s">
        <v>627</v>
      </c>
      <c r="B12" s="613"/>
      <c r="C12" s="250">
        <v>7410</v>
      </c>
      <c r="D12" s="931">
        <v>25</v>
      </c>
      <c r="E12" s="279"/>
    </row>
    <row r="13" spans="1:12" ht="15.75" thickBot="1">
      <c r="A13" s="468" t="s">
        <v>628</v>
      </c>
      <c r="B13" s="613"/>
      <c r="C13" s="336">
        <v>7420</v>
      </c>
      <c r="D13" s="931">
        <v>50</v>
      </c>
      <c r="E13" s="279"/>
    </row>
    <row r="14" spans="1:12" ht="15">
      <c r="A14" s="279"/>
      <c r="B14" s="279"/>
      <c r="C14" s="279"/>
      <c r="D14" s="279"/>
      <c r="E14" s="279"/>
    </row>
    <row r="15" spans="1:12" s="1134" customFormat="1" ht="13.5"/>
    <row r="16" spans="1:12" s="1134" customFormat="1" ht="13.5">
      <c r="A16" s="1139"/>
      <c r="B16" s="37">
        <v>450</v>
      </c>
      <c r="C16" s="28" t="b">
        <f>D9=SUM(D4:D8)</f>
        <v>1</v>
      </c>
      <c r="D16" s="29" t="s">
        <v>1587</v>
      </c>
      <c r="L16" s="28"/>
    </row>
    <row r="17" spans="2:4" s="1134" customFormat="1" ht="13.5">
      <c r="B17" s="1134">
        <v>460</v>
      </c>
      <c r="C17" s="28" t="b">
        <f>D11 = D12+D13</f>
        <v>1</v>
      </c>
      <c r="D17" s="1134" t="s">
        <v>1588</v>
      </c>
    </row>
    <row r="18" spans="2:4" s="1134" customFormat="1" ht="13.5"/>
    <row r="19" spans="2:4" s="1134" customFormat="1" ht="13.5"/>
    <row r="20" spans="2:4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45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45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1.38" right="0.75" top="1" bottom="1" header="0.5" footer="0.5"/>
  <pageSetup paperSize="8" scale="190" orientation="landscape" r:id="rId4"/>
  <headerFooter alignWithMargins="0">
    <oddHeader>&amp;C37.C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Normal="100" workbookViewId="0">
      <selection activeCell="B16" sqref="B16"/>
    </sheetView>
  </sheetViews>
  <sheetFormatPr defaultRowHeight="12.75"/>
  <cols>
    <col min="1" max="1" width="28.7109375" customWidth="1"/>
    <col min="2" max="2" width="9.85546875" customWidth="1"/>
    <col min="3" max="4" width="10.5703125" customWidth="1"/>
    <col min="6" max="6" width="35.42578125" customWidth="1"/>
    <col min="7" max="7" width="6.7109375" bestFit="1" customWidth="1"/>
    <col min="8" max="8" width="10.5703125" bestFit="1" customWidth="1"/>
    <col min="9" max="9" width="41.5703125" bestFit="1" customWidth="1"/>
  </cols>
  <sheetData>
    <row r="1" spans="1:9" s="5" customFormat="1" ht="15.75">
      <c r="A1" s="477" t="s">
        <v>998</v>
      </c>
      <c r="B1" s="279"/>
      <c r="C1" s="279"/>
      <c r="D1" s="279"/>
      <c r="F1" s="92"/>
      <c r="G1" s="101"/>
      <c r="H1" s="101"/>
      <c r="I1" s="101"/>
    </row>
    <row r="2" spans="1:9" ht="16.5" thickBot="1">
      <c r="A2" s="648" t="s">
        <v>634</v>
      </c>
      <c r="B2" s="278"/>
      <c r="C2" s="279"/>
      <c r="D2" s="279"/>
      <c r="F2" s="102"/>
      <c r="G2" s="102"/>
      <c r="H2" s="18"/>
      <c r="I2" s="18"/>
    </row>
    <row r="3" spans="1:9" ht="121.5" customHeight="1" thickBot="1">
      <c r="A3" s="649" t="s">
        <v>306</v>
      </c>
      <c r="B3" s="646"/>
      <c r="C3" s="271" t="s">
        <v>635</v>
      </c>
      <c r="D3" s="271" t="s">
        <v>587</v>
      </c>
      <c r="F3" s="103"/>
      <c r="G3" s="104"/>
      <c r="H3" s="103"/>
      <c r="I3" s="103"/>
    </row>
    <row r="4" spans="1:9" ht="18" thickBot="1">
      <c r="A4" s="647"/>
      <c r="B4" s="390" t="s">
        <v>636</v>
      </c>
      <c r="C4" s="247" t="s">
        <v>1013</v>
      </c>
      <c r="D4" s="247" t="s">
        <v>1014</v>
      </c>
      <c r="F4" s="104"/>
      <c r="G4" s="105"/>
      <c r="H4" s="106"/>
      <c r="I4" s="106"/>
    </row>
    <row r="5" spans="1:9" ht="15.75" thickBot="1">
      <c r="A5" s="652" t="s">
        <v>630</v>
      </c>
      <c r="B5" s="66">
        <v>7100</v>
      </c>
      <c r="C5" s="966">
        <f>SUM(C6:C9)</f>
        <v>360</v>
      </c>
      <c r="D5" s="966">
        <f>SUM(D6:D9)</f>
        <v>115</v>
      </c>
      <c r="F5" s="107"/>
      <c r="G5" s="82"/>
      <c r="H5" s="107"/>
      <c r="I5" s="107"/>
    </row>
    <row r="6" spans="1:9" ht="15.75" thickBot="1">
      <c r="A6" s="653" t="s">
        <v>631</v>
      </c>
      <c r="B6" s="68">
        <v>7110</v>
      </c>
      <c r="C6" s="931">
        <v>100</v>
      </c>
      <c r="D6" s="1007">
        <v>30</v>
      </c>
      <c r="F6" s="108"/>
      <c r="G6" s="109"/>
      <c r="H6" s="107"/>
      <c r="I6" s="107"/>
    </row>
    <row r="7" spans="1:9" ht="15.75" thickBot="1">
      <c r="A7" s="653" t="s">
        <v>2197</v>
      </c>
      <c r="B7" s="68">
        <v>7120</v>
      </c>
      <c r="C7" s="931">
        <v>120</v>
      </c>
      <c r="D7" s="1007">
        <v>40</v>
      </c>
      <c r="F7" s="108"/>
      <c r="G7" s="109"/>
      <c r="H7" s="107"/>
      <c r="I7" s="107"/>
    </row>
    <row r="8" spans="1:9" ht="15.75" thickBot="1">
      <c r="A8" s="654" t="s">
        <v>2601</v>
      </c>
      <c r="B8" s="68">
        <v>7180</v>
      </c>
      <c r="C8" s="943">
        <v>100</v>
      </c>
      <c r="D8" s="1007">
        <v>30</v>
      </c>
      <c r="F8" s="108"/>
      <c r="G8" s="109"/>
      <c r="H8" s="107"/>
      <c r="I8" s="107"/>
    </row>
    <row r="9" spans="1:9" ht="15.75" thickBot="1">
      <c r="A9" s="654" t="s">
        <v>656</v>
      </c>
      <c r="B9" s="68">
        <v>7190</v>
      </c>
      <c r="C9" s="943">
        <v>40</v>
      </c>
      <c r="D9" s="1007">
        <v>15</v>
      </c>
      <c r="F9" s="108"/>
      <c r="G9" s="109"/>
      <c r="H9" s="107"/>
      <c r="I9" s="107"/>
    </row>
    <row r="10" spans="1:9" ht="15.75" thickBot="1">
      <c r="A10" s="652" t="s">
        <v>632</v>
      </c>
      <c r="B10" s="68">
        <v>7320</v>
      </c>
      <c r="C10" s="966">
        <f>SUM(C11:C13)</f>
        <v>44</v>
      </c>
      <c r="D10" s="966">
        <f>SUM(D11:D13)</f>
        <v>25</v>
      </c>
      <c r="F10" s="108"/>
      <c r="G10" s="109"/>
      <c r="H10" s="107"/>
      <c r="I10" s="107"/>
    </row>
    <row r="11" spans="1:9" ht="16.5" customHeight="1" thickBot="1">
      <c r="A11" s="653" t="s">
        <v>633</v>
      </c>
      <c r="B11" s="68">
        <v>7330</v>
      </c>
      <c r="C11" s="931">
        <v>20</v>
      </c>
      <c r="D11" s="1007">
        <v>11</v>
      </c>
      <c r="F11" s="97"/>
      <c r="G11" s="109"/>
      <c r="H11" s="107"/>
      <c r="I11" s="107"/>
    </row>
    <row r="12" spans="1:9" ht="15" customHeight="1" thickBot="1">
      <c r="A12" s="653" t="s">
        <v>1172</v>
      </c>
      <c r="B12" s="68">
        <v>7340</v>
      </c>
      <c r="C12" s="931">
        <v>12</v>
      </c>
      <c r="D12" s="1007">
        <v>8</v>
      </c>
      <c r="F12" s="97"/>
      <c r="G12" s="109"/>
      <c r="H12" s="107"/>
      <c r="I12" s="107"/>
    </row>
    <row r="13" spans="1:9" ht="15.75" thickBot="1">
      <c r="A13" s="653" t="s">
        <v>1591</v>
      </c>
      <c r="B13" s="70">
        <v>7350</v>
      </c>
      <c r="C13" s="931">
        <v>12</v>
      </c>
      <c r="D13" s="1007">
        <v>6</v>
      </c>
      <c r="F13" s="97"/>
      <c r="G13" s="109"/>
      <c r="H13" s="107"/>
      <c r="I13" s="107"/>
    </row>
    <row r="14" spans="1:9">
      <c r="F14" s="97"/>
      <c r="G14" s="109"/>
      <c r="H14" s="107"/>
      <c r="I14" s="107"/>
    </row>
    <row r="15" spans="1:9">
      <c r="F15" s="97"/>
      <c r="G15" s="109"/>
      <c r="H15" s="107"/>
      <c r="I15" s="107"/>
    </row>
    <row r="16" spans="1:9" s="1134" customFormat="1" ht="13.5">
      <c r="A16" s="1139"/>
      <c r="B16" s="37">
        <v>470</v>
      </c>
      <c r="C16" s="28" t="b">
        <f>C5=SUM(C6:C9)</f>
        <v>1</v>
      </c>
      <c r="D16" s="29" t="s">
        <v>1799</v>
      </c>
    </row>
    <row r="17" spans="1:9" s="1134" customFormat="1" ht="13.5">
      <c r="B17" s="1134">
        <v>480</v>
      </c>
      <c r="C17" s="28" t="b">
        <f>C10=SUM(C11:C13)</f>
        <v>1</v>
      </c>
      <c r="D17" s="29" t="s">
        <v>1800</v>
      </c>
    </row>
    <row r="18" spans="1:9" s="1134" customFormat="1" ht="13.5">
      <c r="B18" s="37">
        <v>490</v>
      </c>
      <c r="C18" s="28" t="b">
        <f>D5=SUM(D6:D9)</f>
        <v>1</v>
      </c>
      <c r="D18" s="29" t="s">
        <v>1801</v>
      </c>
    </row>
    <row r="19" spans="1:9" s="1134" customFormat="1" ht="13.5">
      <c r="B19" s="1134">
        <v>500</v>
      </c>
      <c r="C19" s="28" t="b">
        <f>D10=SUM(D11:D13)</f>
        <v>1</v>
      </c>
      <c r="D19" s="29" t="s">
        <v>2453</v>
      </c>
    </row>
    <row r="20" spans="1:9" s="1134" customFormat="1" ht="13.5">
      <c r="A20" s="1182"/>
      <c r="B20" s="1183"/>
      <c r="C20" s="1182"/>
      <c r="D20" s="1182"/>
      <c r="F20" s="1143"/>
      <c r="G20" s="1184"/>
      <c r="H20" s="1185"/>
      <c r="I20" s="1182"/>
    </row>
    <row r="21" spans="1:9" s="1134" customFormat="1" ht="13.5">
      <c r="A21" s="1186"/>
      <c r="B21" s="1184"/>
      <c r="C21" s="1182"/>
      <c r="D21" s="1182"/>
      <c r="F21" s="1143"/>
      <c r="G21" s="1184"/>
      <c r="H21" s="1185"/>
      <c r="I21" s="1182"/>
    </row>
    <row r="22" spans="1:9">
      <c r="A22" s="108"/>
      <c r="B22" s="109"/>
      <c r="C22" s="107"/>
      <c r="D22" s="107"/>
      <c r="F22" s="110"/>
      <c r="G22" s="109"/>
      <c r="H22" s="103"/>
      <c r="I22" s="107"/>
    </row>
    <row r="23" spans="1:9">
      <c r="A23" s="108"/>
      <c r="B23" s="109"/>
      <c r="C23" s="107"/>
      <c r="D23" s="107"/>
      <c r="F23" s="107"/>
      <c r="G23" s="109"/>
      <c r="H23" s="107"/>
      <c r="I23" s="107"/>
    </row>
    <row r="24" spans="1:9">
      <c r="A24" s="108"/>
      <c r="B24" s="109"/>
      <c r="C24" s="107"/>
      <c r="D24" s="107"/>
      <c r="F24" s="108"/>
      <c r="G24" s="109"/>
      <c r="H24" s="107"/>
      <c r="I24" s="107"/>
    </row>
    <row r="25" spans="1:9">
      <c r="A25" s="108"/>
      <c r="B25" s="109"/>
      <c r="C25" s="107"/>
      <c r="D25" s="107"/>
      <c r="F25" s="108"/>
      <c r="G25" s="109"/>
      <c r="H25" s="107"/>
      <c r="I25" s="107"/>
    </row>
    <row r="26" spans="1:9">
      <c r="A26" s="97"/>
      <c r="B26" s="109"/>
      <c r="C26" s="107"/>
      <c r="D26" s="107"/>
      <c r="F26" s="108"/>
      <c r="G26" s="109"/>
      <c r="H26" s="107"/>
      <c r="I26" s="107"/>
    </row>
    <row r="27" spans="1:9">
      <c r="A27" s="97"/>
      <c r="B27" s="109"/>
      <c r="C27" s="107"/>
      <c r="D27" s="107"/>
    </row>
    <row r="28" spans="1:9">
      <c r="A28" s="97"/>
      <c r="B28" s="109"/>
      <c r="C28" s="107"/>
      <c r="D28" s="107"/>
    </row>
    <row r="29" spans="1:9">
      <c r="A29" s="97"/>
      <c r="B29" s="109"/>
      <c r="C29" s="107"/>
      <c r="D29" s="107"/>
    </row>
    <row r="30" spans="1:9">
      <c r="A30" s="97"/>
      <c r="B30" s="109"/>
      <c r="C30" s="107"/>
      <c r="D30" s="107"/>
    </row>
    <row r="31" spans="1:9">
      <c r="A31" s="110"/>
      <c r="B31" s="109"/>
      <c r="C31" s="103"/>
      <c r="D31" s="107"/>
    </row>
    <row r="32" spans="1:9">
      <c r="A32" s="97"/>
      <c r="B32" s="109"/>
      <c r="C32" s="103"/>
      <c r="D32" s="107"/>
    </row>
    <row r="33" spans="1:4">
      <c r="A33" s="97"/>
      <c r="B33" s="109"/>
      <c r="C33" s="103"/>
      <c r="D33" s="107"/>
    </row>
    <row r="34" spans="1:4">
      <c r="A34" s="97"/>
      <c r="B34" s="109"/>
      <c r="C34" s="103"/>
      <c r="D34" s="107"/>
    </row>
    <row r="35" spans="1:4">
      <c r="A35" s="97"/>
      <c r="B35" s="109"/>
      <c r="C35" s="103"/>
      <c r="D35" s="107"/>
    </row>
    <row r="36" spans="1:4">
      <c r="A36" s="97"/>
      <c r="B36" s="109"/>
      <c r="C36" s="103"/>
      <c r="D36" s="107"/>
    </row>
    <row r="37" spans="1:4">
      <c r="A37" s="110"/>
      <c r="B37" s="109"/>
      <c r="C37" s="103"/>
      <c r="D37" s="107"/>
    </row>
    <row r="38" spans="1:4">
      <c r="A38" s="107"/>
      <c r="B38" s="109"/>
      <c r="C38" s="107"/>
      <c r="D38" s="107"/>
    </row>
    <row r="39" spans="1:4">
      <c r="A39" s="108"/>
      <c r="B39" s="109"/>
      <c r="C39" s="107"/>
      <c r="D39" s="107"/>
    </row>
    <row r="40" spans="1:4">
      <c r="A40" s="108"/>
      <c r="B40" s="109"/>
      <c r="C40" s="107"/>
      <c r="D40" s="107"/>
    </row>
    <row r="41" spans="1:4">
      <c r="A41" s="108"/>
      <c r="B41" s="109"/>
      <c r="C41" s="107"/>
      <c r="D41" s="107"/>
    </row>
  </sheetData>
  <customSheetViews>
    <customSheetView guid="{5D819D0C-25F7-408A-B978-F4F86F7655CA}" showPageBreaks="1" showRuler="0">
      <selection activeCell="D26" sqref="D26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landscape" r:id="rId4"/>
  <headerFooter alignWithMargins="0">
    <oddHeader xml:space="preserve">&amp;C37.D
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98" zoomScaleNormal="98" zoomScaleSheetLayoutView="100" workbookViewId="0">
      <selection sqref="A1:E1"/>
    </sheetView>
  </sheetViews>
  <sheetFormatPr defaultColWidth="14.42578125" defaultRowHeight="21.75" customHeight="1"/>
  <cols>
    <col min="1" max="1" width="33.28515625" customWidth="1"/>
  </cols>
  <sheetData>
    <row r="1" spans="1:7" ht="21.75" customHeight="1">
      <c r="A1" s="1235" t="s">
        <v>998</v>
      </c>
      <c r="B1" s="1235"/>
      <c r="C1" s="1235"/>
      <c r="D1" s="1235"/>
      <c r="E1" s="1235"/>
    </row>
    <row r="2" spans="1:7" s="5" customFormat="1" ht="21.75" customHeight="1" thickBot="1">
      <c r="A2" s="1234" t="s">
        <v>657</v>
      </c>
      <c r="B2" s="1234"/>
      <c r="C2" s="1234"/>
      <c r="D2" s="1234"/>
      <c r="E2" s="1234"/>
    </row>
    <row r="3" spans="1:7" ht="57.75" customHeight="1" thickBot="1">
      <c r="A3" s="650"/>
      <c r="B3" s="271" t="s">
        <v>137</v>
      </c>
      <c r="C3" s="400"/>
      <c r="D3" s="271" t="s">
        <v>2087</v>
      </c>
    </row>
    <row r="4" spans="1:7" ht="21.75" customHeight="1" thickBot="1">
      <c r="A4" s="651"/>
      <c r="B4" s="486"/>
      <c r="C4" s="655" t="s">
        <v>658</v>
      </c>
      <c r="D4" s="318" t="s">
        <v>1013</v>
      </c>
    </row>
    <row r="5" spans="1:7" ht="21.75" customHeight="1" thickBot="1">
      <c r="A5" s="300" t="s">
        <v>2088</v>
      </c>
      <c r="B5" s="297" t="s">
        <v>2089</v>
      </c>
      <c r="C5" s="1110">
        <v>7100</v>
      </c>
      <c r="D5" s="1007">
        <v>5</v>
      </c>
      <c r="G5" s="20"/>
    </row>
    <row r="6" spans="1:7" ht="21.75" customHeight="1" thickBot="1">
      <c r="A6" s="300" t="s">
        <v>112</v>
      </c>
      <c r="B6" s="297" t="s">
        <v>2089</v>
      </c>
      <c r="C6" s="1111">
        <v>7110</v>
      </c>
      <c r="D6" s="1007">
        <v>5</v>
      </c>
      <c r="G6" s="20"/>
    </row>
    <row r="7" spans="1:7" ht="21.75" customHeight="1" thickBot="1">
      <c r="A7" s="300" t="s">
        <v>1172</v>
      </c>
      <c r="B7" s="297" t="s">
        <v>2089</v>
      </c>
      <c r="C7" s="1111">
        <v>7120</v>
      </c>
      <c r="D7" s="1007">
        <v>0</v>
      </c>
      <c r="G7" s="20"/>
    </row>
    <row r="8" spans="1:7" ht="21.75" customHeight="1" thickBot="1">
      <c r="A8" s="300" t="s">
        <v>2090</v>
      </c>
      <c r="B8" s="297" t="s">
        <v>2089</v>
      </c>
      <c r="C8" s="1111">
        <v>7130</v>
      </c>
      <c r="D8" s="1007">
        <v>15</v>
      </c>
      <c r="G8" s="20"/>
    </row>
    <row r="9" spans="1:7" ht="21.75" customHeight="1" thickBot="1">
      <c r="A9" s="300" t="s">
        <v>656</v>
      </c>
      <c r="B9" s="297" t="s">
        <v>2089</v>
      </c>
      <c r="C9" s="1111">
        <v>7140</v>
      </c>
      <c r="D9" s="1007">
        <v>5</v>
      </c>
      <c r="G9" s="20"/>
    </row>
    <row r="10" spans="1:7" ht="21.75" customHeight="1" thickBot="1">
      <c r="A10" s="300" t="s">
        <v>1591</v>
      </c>
      <c r="B10" s="297" t="s">
        <v>2089</v>
      </c>
      <c r="C10" s="1112">
        <v>7150</v>
      </c>
      <c r="D10" s="1007">
        <v>0</v>
      </c>
      <c r="G10" s="20"/>
    </row>
    <row r="11" spans="1:7" ht="21.75" customHeight="1" thickBot="1">
      <c r="A11" s="429" t="s">
        <v>1059</v>
      </c>
      <c r="B11" s="614"/>
      <c r="C11" s="1112">
        <v>7999</v>
      </c>
      <c r="D11" s="1008">
        <f>D5+D6+D7+D8+D9+D10</f>
        <v>30</v>
      </c>
      <c r="G11" s="20"/>
    </row>
    <row r="14" spans="1:7" s="1188" customFormat="1" ht="21.75" customHeight="1">
      <c r="B14" s="37">
        <v>510</v>
      </c>
      <c r="C14" s="1189" t="b">
        <f>D11=SUM(D5:D10)</f>
        <v>1</v>
      </c>
      <c r="D14" s="1187" t="s">
        <v>2454</v>
      </c>
    </row>
    <row r="17" spans="5:8" ht="21.75" customHeight="1">
      <c r="H17" s="20"/>
    </row>
    <row r="19" spans="5:8" ht="21.75" customHeight="1">
      <c r="E19" s="20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2">
    <mergeCell ref="A2:E2"/>
    <mergeCell ref="A1:E1"/>
  </mergeCells>
  <phoneticPr fontId="8" type="noConversion"/>
  <pageMargins left="0.75" right="0.75" top="1" bottom="1" header="0.5" footer="0.5"/>
  <pageSetup paperSize="8" scale="200" orientation="landscape" r:id="rId4"/>
  <headerFooter alignWithMargins="0">
    <oddHeader xml:space="preserve">&amp;C37.E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15" zoomScaleNormal="115" zoomScaleSheetLayoutView="100" workbookViewId="0"/>
  </sheetViews>
  <sheetFormatPr defaultRowHeight="12.75"/>
  <cols>
    <col min="1" max="1" width="54.5703125" customWidth="1"/>
    <col min="2" max="2" width="7.28515625" customWidth="1"/>
    <col min="3" max="3" width="13.42578125" customWidth="1"/>
    <col min="4" max="4" width="12.28515625" customWidth="1"/>
    <col min="5" max="5" width="13" customWidth="1"/>
    <col min="6" max="6" width="12.85546875" customWidth="1"/>
  </cols>
  <sheetData>
    <row r="1" spans="1:7" s="17" customFormat="1" ht="16.5" thickBot="1">
      <c r="A1" s="477" t="s">
        <v>142</v>
      </c>
      <c r="B1" s="583"/>
      <c r="C1" s="583"/>
      <c r="D1" s="583"/>
      <c r="E1" s="583"/>
      <c r="F1" s="583"/>
      <c r="G1" s="583"/>
    </row>
    <row r="2" spans="1:7" ht="176.25" thickBot="1">
      <c r="A2" s="243" t="s">
        <v>659</v>
      </c>
      <c r="B2" s="521"/>
      <c r="C2" s="271" t="s">
        <v>2299</v>
      </c>
      <c r="D2" s="271" t="s">
        <v>808</v>
      </c>
      <c r="E2" s="271" t="s">
        <v>824</v>
      </c>
      <c r="F2" s="271" t="s">
        <v>2297</v>
      </c>
      <c r="G2" s="279"/>
    </row>
    <row r="3" spans="1:7" ht="15.75" thickBot="1">
      <c r="A3" s="523"/>
      <c r="B3" s="341" t="s">
        <v>946</v>
      </c>
      <c r="C3" s="283" t="s">
        <v>1013</v>
      </c>
      <c r="D3" s="283" t="s">
        <v>1014</v>
      </c>
      <c r="E3" s="283" t="s">
        <v>1015</v>
      </c>
      <c r="F3" s="283" t="s">
        <v>1016</v>
      </c>
      <c r="G3" s="279"/>
    </row>
    <row r="4" spans="1:7" ht="15.75" thickBot="1">
      <c r="A4" s="416" t="s">
        <v>1137</v>
      </c>
      <c r="B4" s="342">
        <v>7100</v>
      </c>
      <c r="C4" s="1009"/>
      <c r="D4" s="926">
        <f>'1.1'!E4</f>
        <v>1000</v>
      </c>
      <c r="E4" s="924">
        <v>10</v>
      </c>
      <c r="F4" s="924">
        <v>2</v>
      </c>
      <c r="G4" s="279"/>
    </row>
    <row r="5" spans="1:7" ht="15.75" thickBot="1">
      <c r="A5" s="416" t="s">
        <v>968</v>
      </c>
      <c r="B5" s="360">
        <v>7110</v>
      </c>
      <c r="C5" s="1009"/>
      <c r="D5" s="926">
        <f>'1.1'!E5</f>
        <v>1000</v>
      </c>
      <c r="E5" s="924">
        <v>95</v>
      </c>
      <c r="F5" s="924">
        <v>5</v>
      </c>
      <c r="G5" s="279"/>
    </row>
    <row r="6" spans="1:7" ht="15.75" thickBot="1">
      <c r="A6" s="416" t="s">
        <v>1101</v>
      </c>
      <c r="B6" s="360">
        <v>7120</v>
      </c>
      <c r="C6" s="1009"/>
      <c r="D6" s="926">
        <f>'1.1'!E6</f>
        <v>1000</v>
      </c>
      <c r="E6" s="924">
        <v>200</v>
      </c>
      <c r="F6" s="1010"/>
      <c r="G6" s="279"/>
    </row>
    <row r="7" spans="1:7" ht="15.75" thickBot="1">
      <c r="A7" s="416" t="s">
        <v>1057</v>
      </c>
      <c r="B7" s="360">
        <v>7130</v>
      </c>
      <c r="C7" s="926">
        <f>'1.1'!E7</f>
        <v>1000</v>
      </c>
      <c r="D7" s="924">
        <v>1062</v>
      </c>
      <c r="E7" s="924">
        <v>850</v>
      </c>
      <c r="F7" s="1009"/>
      <c r="G7" s="279"/>
    </row>
    <row r="8" spans="1:7" ht="15.75" thickBot="1">
      <c r="A8" s="416" t="s">
        <v>349</v>
      </c>
      <c r="B8" s="360">
        <v>7140</v>
      </c>
      <c r="C8" s="926">
        <f>'1.1'!E8</f>
        <v>1000</v>
      </c>
      <c r="D8" s="924">
        <v>890</v>
      </c>
      <c r="E8" s="924">
        <v>860</v>
      </c>
      <c r="F8" s="1009"/>
      <c r="G8" s="279"/>
    </row>
    <row r="9" spans="1:7" ht="15.75" thickBot="1">
      <c r="A9" s="416" t="s">
        <v>2602</v>
      </c>
      <c r="B9" s="360">
        <v>7150</v>
      </c>
      <c r="C9" s="924">
        <v>25</v>
      </c>
      <c r="D9" s="924">
        <v>24</v>
      </c>
      <c r="E9" s="924">
        <v>20</v>
      </c>
      <c r="F9" s="924">
        <v>1</v>
      </c>
      <c r="G9" s="279"/>
    </row>
    <row r="10" spans="1:7" ht="15.75" thickBot="1">
      <c r="A10" s="416" t="s">
        <v>1394</v>
      </c>
      <c r="B10" s="360">
        <v>7160</v>
      </c>
      <c r="C10" s="1009"/>
      <c r="D10" s="926">
        <f>'1.2'!E4</f>
        <v>1000</v>
      </c>
      <c r="E10" s="924">
        <v>5</v>
      </c>
      <c r="F10" s="924">
        <v>2</v>
      </c>
      <c r="G10" s="279"/>
    </row>
    <row r="11" spans="1:7" ht="18" customHeight="1" thickBot="1">
      <c r="A11" s="416" t="s">
        <v>1138</v>
      </c>
      <c r="B11" s="360">
        <v>7170</v>
      </c>
      <c r="C11" s="1009"/>
      <c r="D11" s="926">
        <f>'1.2'!E5</f>
        <v>1000</v>
      </c>
      <c r="E11" s="924">
        <v>150</v>
      </c>
      <c r="F11" s="924">
        <v>10</v>
      </c>
      <c r="G11" s="279"/>
    </row>
    <row r="12" spans="1:7" ht="15.75" thickBot="1">
      <c r="A12" s="416" t="s">
        <v>660</v>
      </c>
      <c r="B12" s="360">
        <v>7180</v>
      </c>
      <c r="C12" s="926">
        <f>'1.2'!E6</f>
        <v>1000</v>
      </c>
      <c r="D12" s="924">
        <v>950</v>
      </c>
      <c r="E12" s="924">
        <v>945</v>
      </c>
      <c r="F12" s="1009"/>
      <c r="G12" s="279"/>
    </row>
    <row r="13" spans="1:7" ht="15.75" thickBot="1">
      <c r="A13" s="416" t="s">
        <v>1475</v>
      </c>
      <c r="B13" s="428">
        <v>7190</v>
      </c>
      <c r="C13" s="924">
        <v>5</v>
      </c>
      <c r="D13" s="924">
        <v>5</v>
      </c>
      <c r="E13" s="924">
        <v>5</v>
      </c>
      <c r="F13" s="924">
        <v>0</v>
      </c>
      <c r="G13" s="279"/>
    </row>
    <row r="14" spans="1:7" ht="15">
      <c r="A14" s="656"/>
      <c r="B14" s="656"/>
      <c r="C14" s="279"/>
      <c r="D14" s="279"/>
      <c r="E14" s="279"/>
      <c r="F14" s="279"/>
      <c r="G14" s="279"/>
    </row>
    <row r="15" spans="1:7" ht="18">
      <c r="A15" s="657" t="s">
        <v>2298</v>
      </c>
      <c r="B15" s="657"/>
      <c r="C15" s="279"/>
      <c r="D15" s="279"/>
      <c r="E15" s="279"/>
      <c r="F15" s="279"/>
      <c r="G15" s="279"/>
    </row>
    <row r="16" spans="1:7" ht="15">
      <c r="A16" s="279" t="s">
        <v>1429</v>
      </c>
      <c r="B16" s="279"/>
      <c r="C16" s="279"/>
      <c r="D16" s="279"/>
      <c r="E16" s="279"/>
      <c r="F16" s="279"/>
      <c r="G16" s="279"/>
    </row>
    <row r="17" spans="1:11" ht="15">
      <c r="A17" s="279" t="s">
        <v>1428</v>
      </c>
      <c r="B17" s="279"/>
      <c r="C17" s="279"/>
      <c r="D17" s="279"/>
      <c r="E17" s="279"/>
      <c r="F17" s="279"/>
      <c r="G17" s="279"/>
    </row>
    <row r="20" spans="1:11" s="12" customFormat="1" ht="13.5">
      <c r="A20" s="41"/>
      <c r="B20" s="43"/>
      <c r="C20" s="27">
        <v>10</v>
      </c>
      <c r="D20" s="28" t="b">
        <f>IF(E4,IF(D4,TRUE,FALSE),TRUE)</f>
        <v>1</v>
      </c>
      <c r="E20" s="38" t="s">
        <v>2455</v>
      </c>
      <c r="F20" s="78"/>
      <c r="G20" s="78"/>
      <c r="H20" s="78"/>
      <c r="I20" s="78"/>
      <c r="J20" s="78"/>
      <c r="K20" s="42"/>
    </row>
    <row r="21" spans="1:11" ht="13.5">
      <c r="C21" s="27">
        <v>20</v>
      </c>
      <c r="D21" s="28" t="b">
        <f t="shared" ref="D21:D29" si="0">IF(E5,IF(D5,TRUE,FALSE),TRUE)</f>
        <v>1</v>
      </c>
      <c r="E21" s="38" t="s">
        <v>2456</v>
      </c>
    </row>
    <row r="22" spans="1:11" ht="13.5">
      <c r="C22" s="27">
        <v>30</v>
      </c>
      <c r="D22" s="28" t="b">
        <f t="shared" si="0"/>
        <v>1</v>
      </c>
      <c r="E22" s="38" t="s">
        <v>2457</v>
      </c>
    </row>
    <row r="23" spans="1:11" ht="13.5">
      <c r="C23" s="27">
        <v>40</v>
      </c>
      <c r="D23" s="28" t="b">
        <f t="shared" si="0"/>
        <v>1</v>
      </c>
      <c r="E23" s="38" t="s">
        <v>2458</v>
      </c>
    </row>
    <row r="24" spans="1:11" ht="13.5">
      <c r="C24" s="27">
        <v>50</v>
      </c>
      <c r="D24" s="28" t="b">
        <f t="shared" si="0"/>
        <v>1</v>
      </c>
      <c r="E24" s="38" t="s">
        <v>2459</v>
      </c>
    </row>
    <row r="25" spans="1:11" ht="13.5">
      <c r="C25" s="27">
        <v>60</v>
      </c>
      <c r="D25" s="28" t="b">
        <f t="shared" si="0"/>
        <v>1</v>
      </c>
      <c r="E25" s="38" t="s">
        <v>2460</v>
      </c>
    </row>
    <row r="26" spans="1:11" ht="13.5">
      <c r="C26" s="27">
        <v>70</v>
      </c>
      <c r="D26" s="28" t="b">
        <f t="shared" si="0"/>
        <v>1</v>
      </c>
      <c r="E26" s="38" t="s">
        <v>2461</v>
      </c>
    </row>
    <row r="27" spans="1:11" ht="13.5">
      <c r="C27" s="27">
        <v>80</v>
      </c>
      <c r="D27" s="28" t="b">
        <f t="shared" si="0"/>
        <v>1</v>
      </c>
      <c r="E27" s="38" t="s">
        <v>2462</v>
      </c>
    </row>
    <row r="28" spans="1:11" ht="13.5">
      <c r="C28" s="27">
        <v>90</v>
      </c>
      <c r="D28" s="28" t="b">
        <f t="shared" si="0"/>
        <v>1</v>
      </c>
      <c r="E28" s="38" t="s">
        <v>2463</v>
      </c>
    </row>
    <row r="29" spans="1:11" ht="13.5">
      <c r="C29" s="27">
        <v>100</v>
      </c>
      <c r="D29" s="28" t="b">
        <f t="shared" si="0"/>
        <v>1</v>
      </c>
      <c r="E29" s="38" t="s">
        <v>2464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65" orientation="landscape" r:id="rId4"/>
  <headerFooter alignWithMargins="0"/>
  <colBreaks count="1" manualBreakCount="1">
    <brk id="9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75" zoomScaleNormal="75" zoomScaleSheetLayoutView="100" workbookViewId="0"/>
  </sheetViews>
  <sheetFormatPr defaultRowHeight="12.75"/>
  <cols>
    <col min="1" max="1" width="16.140625" customWidth="1"/>
    <col min="3" max="3" width="12.28515625" customWidth="1"/>
    <col min="4" max="4" width="23.5703125" customWidth="1"/>
    <col min="5" max="5" width="12.140625" customWidth="1"/>
    <col min="6" max="6" width="13" customWidth="1"/>
    <col min="7" max="7" width="12.42578125" customWidth="1"/>
    <col min="9" max="9" width="61.85546875" customWidth="1"/>
  </cols>
  <sheetData>
    <row r="1" spans="1:7" ht="15.75">
      <c r="A1" s="477" t="s">
        <v>2187</v>
      </c>
      <c r="B1" s="52"/>
      <c r="C1" s="279"/>
      <c r="D1" s="279"/>
      <c r="E1" s="279"/>
      <c r="F1" s="279"/>
      <c r="G1" s="279"/>
    </row>
    <row r="2" spans="1:7" ht="16.5" thickBot="1">
      <c r="A2" s="242" t="s">
        <v>1820</v>
      </c>
      <c r="B2" s="278"/>
      <c r="C2" s="279"/>
      <c r="D2" s="279"/>
      <c r="E2" s="279"/>
      <c r="F2" s="279"/>
      <c r="G2" s="279"/>
    </row>
    <row r="3" spans="1:7" ht="200.25" customHeight="1" thickBot="1">
      <c r="A3" s="280"/>
      <c r="B3" s="522"/>
      <c r="C3" s="659" t="s">
        <v>829</v>
      </c>
      <c r="D3" s="659" t="s">
        <v>825</v>
      </c>
      <c r="E3" s="659" t="s">
        <v>826</v>
      </c>
      <c r="F3" s="659" t="s">
        <v>827</v>
      </c>
      <c r="G3" s="659" t="s">
        <v>828</v>
      </c>
    </row>
    <row r="4" spans="1:7" ht="15.75" thickBot="1">
      <c r="A4" s="551" t="s">
        <v>143</v>
      </c>
      <c r="B4" s="658"/>
      <c r="C4" s="1216" t="s">
        <v>144</v>
      </c>
      <c r="D4" s="1217"/>
      <c r="E4" s="1217"/>
      <c r="F4" s="1217"/>
      <c r="G4" s="1218"/>
    </row>
    <row r="5" spans="1:7" ht="15.75" thickBot="1">
      <c r="A5" s="601"/>
      <c r="B5" s="414" t="s">
        <v>1134</v>
      </c>
      <c r="C5" s="318" t="s">
        <v>1013</v>
      </c>
      <c r="D5" s="586" t="s">
        <v>1014</v>
      </c>
      <c r="E5" s="318" t="s">
        <v>1015</v>
      </c>
      <c r="F5" s="586" t="s">
        <v>1016</v>
      </c>
      <c r="G5" s="318" t="s">
        <v>525</v>
      </c>
    </row>
    <row r="6" spans="1:7" ht="15.75" thickBot="1">
      <c r="A6" s="543" t="s">
        <v>145</v>
      </c>
      <c r="B6" s="342">
        <v>7100</v>
      </c>
      <c r="C6" s="1011"/>
      <c r="D6" s="943">
        <v>10</v>
      </c>
      <c r="E6" s="943">
        <v>9</v>
      </c>
      <c r="F6" s="990"/>
      <c r="G6" s="1011"/>
    </row>
    <row r="7" spans="1:7" ht="15.75" thickBot="1">
      <c r="A7" s="543" t="s">
        <v>2185</v>
      </c>
      <c r="B7" s="360">
        <v>7110</v>
      </c>
      <c r="C7" s="1011"/>
      <c r="D7" s="943">
        <v>20</v>
      </c>
      <c r="E7" s="943">
        <v>15</v>
      </c>
      <c r="F7" s="990"/>
      <c r="G7" s="1011"/>
    </row>
    <row r="8" spans="1:7" ht="15.75" thickBot="1">
      <c r="A8" s="543" t="s">
        <v>2186</v>
      </c>
      <c r="B8" s="428">
        <v>7120</v>
      </c>
      <c r="C8" s="1011"/>
      <c r="D8" s="943">
        <v>30</v>
      </c>
      <c r="E8" s="943">
        <v>21</v>
      </c>
      <c r="F8" s="990"/>
      <c r="G8" s="1011"/>
    </row>
    <row r="9" spans="1:7" ht="15.75" thickBot="1">
      <c r="A9" s="660" t="s">
        <v>1059</v>
      </c>
      <c r="B9" s="341">
        <v>7999</v>
      </c>
      <c r="C9" s="941">
        <f>'13.a'!H23+'13.b'!H21+'14.A'!D20+'15.a'!H20+'15.b'!I23</f>
        <v>361</v>
      </c>
      <c r="D9" s="941">
        <f>SUM(D6:D8)</f>
        <v>60</v>
      </c>
      <c r="E9" s="941">
        <f>SUM(E6:E8)</f>
        <v>45</v>
      </c>
      <c r="F9" s="931">
        <v>10</v>
      </c>
      <c r="G9" s="943">
        <v>10</v>
      </c>
    </row>
    <row r="10" spans="1:7">
      <c r="A10" s="15"/>
      <c r="B10" s="15"/>
      <c r="C10" s="15"/>
      <c r="D10" s="15"/>
      <c r="E10" s="15"/>
      <c r="F10" s="15"/>
      <c r="G10" s="15"/>
    </row>
    <row r="11" spans="1:7">
      <c r="A11" s="15"/>
      <c r="B11" s="15"/>
      <c r="C11" s="15"/>
      <c r="D11" s="15"/>
      <c r="E11" s="15"/>
      <c r="F11" s="15"/>
      <c r="G11" s="15"/>
    </row>
    <row r="12" spans="1:7" s="12" customFormat="1" ht="13.5">
      <c r="A12" s="41"/>
      <c r="B12" s="45"/>
      <c r="C12" s="37">
        <v>10</v>
      </c>
      <c r="D12" s="28" t="b">
        <f>D9=SUM(D6:D8)</f>
        <v>1</v>
      </c>
      <c r="E12" s="29" t="s">
        <v>2465</v>
      </c>
    </row>
    <row r="13" spans="1:7" s="12" customFormat="1" ht="13.5">
      <c r="A13" s="41"/>
      <c r="B13" s="45"/>
      <c r="C13" s="37">
        <v>20</v>
      </c>
      <c r="D13" s="28" t="b">
        <f>E9=SUM(E6:E8)</f>
        <v>1</v>
      </c>
      <c r="E13" s="29" t="s">
        <v>2466</v>
      </c>
    </row>
    <row r="14" spans="1:7" s="12" customFormat="1" ht="13.5">
      <c r="A14" s="41"/>
      <c r="B14" s="45"/>
      <c r="C14" s="37">
        <v>30</v>
      </c>
      <c r="D14" s="28" t="b">
        <f>IF(D9,TRUE,FALSE)=IF(E9,TRUE,FALSE)</f>
        <v>1</v>
      </c>
      <c r="E14" s="29" t="s">
        <v>2467</v>
      </c>
    </row>
    <row r="15" spans="1:7" ht="13.5">
      <c r="C15" s="37">
        <v>40</v>
      </c>
      <c r="D15" s="28" t="b">
        <f>C9&gt;='13.a'!H23+'13.b'!H21 +'14.A'!D20+'15.a'!H20+'15.b'!I23</f>
        <v>1</v>
      </c>
      <c r="E15" s="29" t="s">
        <v>2468</v>
      </c>
    </row>
    <row r="16" spans="1:7">
      <c r="E16" t="s">
        <v>2500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A8" sqref="A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A8" sqref="A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4:G4"/>
  </mergeCells>
  <phoneticPr fontId="0" type="noConversion"/>
  <pageMargins left="0.75" right="0.75" top="1" bottom="1" header="0.5" footer="0.5"/>
  <pageSetup paperSize="8" scale="195" orientation="landscape" r:id="rId4"/>
  <headerFooter alignWithMargins="0">
    <oddHeader xml:space="preserve">&amp;C39.A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Normal="100" zoomScaleSheetLayoutView="100" workbookViewId="0"/>
  </sheetViews>
  <sheetFormatPr defaultRowHeight="12.75"/>
  <cols>
    <col min="1" max="1" width="37.140625" customWidth="1"/>
    <col min="2" max="2" width="6.85546875" customWidth="1"/>
    <col min="3" max="3" width="8.85546875" customWidth="1"/>
    <col min="4" max="4" width="8.140625" customWidth="1"/>
    <col min="5" max="5" width="8.42578125" customWidth="1"/>
    <col min="12" max="12" width="52.85546875" customWidth="1"/>
  </cols>
  <sheetData>
    <row r="1" spans="1:5" ht="16.5" thickBot="1">
      <c r="A1" s="242" t="s">
        <v>523</v>
      </c>
      <c r="B1" s="279"/>
      <c r="C1" s="279"/>
      <c r="D1" s="279"/>
      <c r="E1" s="279"/>
    </row>
    <row r="2" spans="1:5" ht="98.25" customHeight="1" thickBot="1">
      <c r="A2" s="277" t="s">
        <v>1855</v>
      </c>
      <c r="B2" s="280"/>
      <c r="C2" s="271" t="s">
        <v>2205</v>
      </c>
      <c r="D2" s="271" t="s">
        <v>2206</v>
      </c>
      <c r="E2" s="271" t="s">
        <v>1854</v>
      </c>
    </row>
    <row r="3" spans="1:5" s="2" customFormat="1" ht="15.75" thickBot="1">
      <c r="A3" s="281"/>
      <c r="B3" s="282" t="s">
        <v>1012</v>
      </c>
      <c r="C3" s="283" t="s">
        <v>1014</v>
      </c>
      <c r="D3" s="283" t="s">
        <v>1015</v>
      </c>
      <c r="E3" s="283" t="s">
        <v>1016</v>
      </c>
    </row>
    <row r="4" spans="1:5" ht="15.75" thickBot="1">
      <c r="A4" s="251" t="s">
        <v>139</v>
      </c>
      <c r="B4" s="284">
        <v>7100</v>
      </c>
      <c r="C4" s="830">
        <v>125</v>
      </c>
      <c r="D4" s="830">
        <v>75</v>
      </c>
      <c r="E4" s="830">
        <v>40</v>
      </c>
    </row>
    <row r="5" spans="1:5" ht="15.75" thickBot="1">
      <c r="A5" s="251" t="s">
        <v>141</v>
      </c>
      <c r="B5" s="284">
        <v>7110</v>
      </c>
      <c r="C5" s="831">
        <f>SUM(C6:C8)</f>
        <v>75</v>
      </c>
      <c r="D5" s="831">
        <f>SUM(D6:D8)</f>
        <v>45</v>
      </c>
      <c r="E5" s="831">
        <f>SUM(E6:E8)</f>
        <v>30</v>
      </c>
    </row>
    <row r="6" spans="1:5" ht="15">
      <c r="A6" s="253" t="s">
        <v>1822</v>
      </c>
      <c r="B6" s="284">
        <v>7120</v>
      </c>
      <c r="C6" s="832">
        <v>25</v>
      </c>
      <c r="D6" s="832">
        <v>15</v>
      </c>
      <c r="E6" s="832">
        <v>10</v>
      </c>
    </row>
    <row r="7" spans="1:5" ht="15">
      <c r="A7" s="253" t="s">
        <v>1824</v>
      </c>
      <c r="B7" s="284">
        <v>7130</v>
      </c>
      <c r="C7" s="832">
        <v>25</v>
      </c>
      <c r="D7" s="832">
        <v>15</v>
      </c>
      <c r="E7" s="832">
        <v>10</v>
      </c>
    </row>
    <row r="8" spans="1:5" ht="15.75" thickBot="1">
      <c r="A8" s="255" t="s">
        <v>1826</v>
      </c>
      <c r="B8" s="284">
        <v>7140</v>
      </c>
      <c r="C8" s="830">
        <v>25</v>
      </c>
      <c r="D8" s="830">
        <v>15</v>
      </c>
      <c r="E8" s="830">
        <v>10</v>
      </c>
    </row>
    <row r="9" spans="1:5" ht="15">
      <c r="A9" s="251" t="s">
        <v>1654</v>
      </c>
      <c r="B9" s="284">
        <v>7150</v>
      </c>
      <c r="C9" s="833">
        <f>SUM(C10:C14)</f>
        <v>150</v>
      </c>
      <c r="D9" s="833">
        <f>SUM(D10:D14)</f>
        <v>90</v>
      </c>
      <c r="E9" s="833">
        <f>SUM(E10:E14)</f>
        <v>65</v>
      </c>
    </row>
    <row r="10" spans="1:5" ht="15">
      <c r="A10" s="257" t="s">
        <v>1828</v>
      </c>
      <c r="B10" s="284">
        <v>7160</v>
      </c>
      <c r="C10" s="832">
        <v>30</v>
      </c>
      <c r="D10" s="832">
        <v>18</v>
      </c>
      <c r="E10" s="832">
        <v>13</v>
      </c>
    </row>
    <row r="11" spans="1:5" ht="15">
      <c r="A11" s="257" t="s">
        <v>1830</v>
      </c>
      <c r="B11" s="284">
        <v>7170</v>
      </c>
      <c r="C11" s="832">
        <v>30</v>
      </c>
      <c r="D11" s="832">
        <v>18</v>
      </c>
      <c r="E11" s="832">
        <v>13</v>
      </c>
    </row>
    <row r="12" spans="1:5" ht="15">
      <c r="A12" s="257" t="s">
        <v>1849</v>
      </c>
      <c r="B12" s="284">
        <v>7180</v>
      </c>
      <c r="C12" s="832">
        <v>30</v>
      </c>
      <c r="D12" s="832">
        <v>18</v>
      </c>
      <c r="E12" s="832">
        <v>13</v>
      </c>
    </row>
    <row r="13" spans="1:5" ht="15">
      <c r="A13" s="257" t="s">
        <v>1850</v>
      </c>
      <c r="B13" s="284">
        <v>7190</v>
      </c>
      <c r="C13" s="832">
        <v>30</v>
      </c>
      <c r="D13" s="832">
        <v>18</v>
      </c>
      <c r="E13" s="832">
        <v>13</v>
      </c>
    </row>
    <row r="14" spans="1:5" ht="15">
      <c r="A14" s="257" t="s">
        <v>1851</v>
      </c>
      <c r="B14" s="284">
        <v>7200</v>
      </c>
      <c r="C14" s="832">
        <v>30</v>
      </c>
      <c r="D14" s="832">
        <v>18</v>
      </c>
      <c r="E14" s="832">
        <v>13</v>
      </c>
    </row>
    <row r="15" spans="1:5" ht="15">
      <c r="A15" s="251" t="s">
        <v>1653</v>
      </c>
      <c r="B15" s="284">
        <v>7210</v>
      </c>
      <c r="C15" s="833">
        <f>SUM(C16:C20)</f>
        <v>150</v>
      </c>
      <c r="D15" s="833">
        <f>SUM(D16:D20)</f>
        <v>90</v>
      </c>
      <c r="E15" s="833">
        <f>SUM(E16:E20)</f>
        <v>65</v>
      </c>
    </row>
    <row r="16" spans="1:5" ht="15">
      <c r="A16" s="257" t="s">
        <v>1828</v>
      </c>
      <c r="B16" s="284">
        <v>7220</v>
      </c>
      <c r="C16" s="832">
        <v>30</v>
      </c>
      <c r="D16" s="832">
        <v>18</v>
      </c>
      <c r="E16" s="832">
        <v>13</v>
      </c>
    </row>
    <row r="17" spans="1:9" ht="15">
      <c r="A17" s="257" t="s">
        <v>1830</v>
      </c>
      <c r="B17" s="284">
        <v>7230</v>
      </c>
      <c r="C17" s="832">
        <v>30</v>
      </c>
      <c r="D17" s="832">
        <v>18</v>
      </c>
      <c r="E17" s="832">
        <v>13</v>
      </c>
    </row>
    <row r="18" spans="1:9" ht="15">
      <c r="A18" s="257" t="s">
        <v>1849</v>
      </c>
      <c r="B18" s="284">
        <v>7240</v>
      </c>
      <c r="C18" s="832">
        <v>30</v>
      </c>
      <c r="D18" s="832">
        <v>18</v>
      </c>
      <c r="E18" s="832">
        <v>13</v>
      </c>
    </row>
    <row r="19" spans="1:9" ht="15">
      <c r="A19" s="257" t="s">
        <v>1850</v>
      </c>
      <c r="B19" s="284">
        <v>7250</v>
      </c>
      <c r="C19" s="832">
        <v>30</v>
      </c>
      <c r="D19" s="832">
        <v>18</v>
      </c>
      <c r="E19" s="832">
        <v>13</v>
      </c>
    </row>
    <row r="20" spans="1:9" ht="15.75" thickBot="1">
      <c r="A20" s="257" t="s">
        <v>1851</v>
      </c>
      <c r="B20" s="284">
        <v>7260</v>
      </c>
      <c r="C20" s="832">
        <v>30</v>
      </c>
      <c r="D20" s="832">
        <v>18</v>
      </c>
      <c r="E20" s="832">
        <v>13</v>
      </c>
    </row>
    <row r="21" spans="1:9" ht="15.75" thickBot="1">
      <c r="A21" s="285" t="s">
        <v>1059</v>
      </c>
      <c r="B21" s="246">
        <v>7999</v>
      </c>
      <c r="C21" s="831">
        <f>SUM(C4:C5,C9,C15)</f>
        <v>500</v>
      </c>
      <c r="D21" s="831">
        <f>SUM(D4:D5,D9,D15)</f>
        <v>300</v>
      </c>
      <c r="E21" s="831">
        <f>SUM(E4:E5,E9,E15)</f>
        <v>200</v>
      </c>
    </row>
    <row r="22" spans="1:9" ht="15.75">
      <c r="A22" s="24"/>
      <c r="B22" s="24"/>
      <c r="C22" s="1194"/>
      <c r="D22" s="1194"/>
      <c r="E22" s="1194"/>
    </row>
    <row r="26" spans="1:9" s="1134" customFormat="1" ht="14.25" customHeight="1">
      <c r="A26" s="1139"/>
      <c r="B26" s="1172"/>
      <c r="C26" s="27">
        <v>240</v>
      </c>
      <c r="D26" s="28" t="b">
        <f>C5=C6+C7+C8</f>
        <v>1</v>
      </c>
      <c r="E26" s="38" t="s">
        <v>1357</v>
      </c>
      <c r="F26" s="1165"/>
      <c r="G26" s="1165"/>
      <c r="H26" s="1165"/>
      <c r="I26" s="1165"/>
    </row>
    <row r="27" spans="1:9" s="1134" customFormat="1" ht="14.25" customHeight="1">
      <c r="A27" s="1139"/>
      <c r="B27" s="1172"/>
      <c r="C27" s="27">
        <v>250</v>
      </c>
      <c r="D27" s="28" t="b">
        <f>D5=D6+D7+D8</f>
        <v>1</v>
      </c>
      <c r="E27" s="38" t="s">
        <v>1358</v>
      </c>
      <c r="F27" s="1165"/>
      <c r="G27" s="1165"/>
      <c r="H27" s="1165"/>
      <c r="I27" s="1165"/>
    </row>
    <row r="28" spans="1:9" s="1134" customFormat="1" ht="14.25" customHeight="1">
      <c r="A28" s="1139"/>
      <c r="B28" s="1172"/>
      <c r="C28" s="27">
        <v>260</v>
      </c>
      <c r="D28" s="28" t="b">
        <f>E5=E6+E7+E8</f>
        <v>1</v>
      </c>
      <c r="E28" s="38" t="s">
        <v>1359</v>
      </c>
      <c r="F28" s="1165"/>
      <c r="G28" s="1165"/>
      <c r="H28" s="1165"/>
      <c r="I28" s="1165"/>
    </row>
    <row r="29" spans="1:9" s="1134" customFormat="1" ht="14.25" customHeight="1">
      <c r="A29" s="1139"/>
      <c r="B29" s="1172"/>
      <c r="C29" s="27">
        <v>270</v>
      </c>
      <c r="D29" s="28" t="b">
        <f>C9=C10+C11+C12+C13+C14</f>
        <v>1</v>
      </c>
      <c r="E29" s="38" t="s">
        <v>1360</v>
      </c>
      <c r="F29" s="1165"/>
      <c r="G29" s="1165"/>
      <c r="H29" s="1165"/>
      <c r="I29" s="1165"/>
    </row>
    <row r="30" spans="1:9" s="1134" customFormat="1" ht="14.25" customHeight="1">
      <c r="A30" s="1139"/>
      <c r="B30" s="1172"/>
      <c r="C30" s="27">
        <v>280</v>
      </c>
      <c r="D30" s="28" t="b">
        <f>D9=D10+D11+D12+D13+D14</f>
        <v>1</v>
      </c>
      <c r="E30" s="38" t="s">
        <v>1361</v>
      </c>
      <c r="F30" s="1165"/>
      <c r="G30" s="1165"/>
      <c r="H30" s="1165"/>
      <c r="I30" s="1165"/>
    </row>
    <row r="31" spans="1:9" s="1134" customFormat="1" ht="14.25" customHeight="1">
      <c r="A31" s="1139"/>
      <c r="B31" s="1172"/>
      <c r="C31" s="27">
        <v>290</v>
      </c>
      <c r="D31" s="28" t="b">
        <f>E9=E10+E11+E12+E13+E14</f>
        <v>1</v>
      </c>
      <c r="E31" s="38" t="s">
        <v>1362</v>
      </c>
      <c r="F31" s="1165"/>
      <c r="G31" s="1165"/>
      <c r="H31" s="1165"/>
      <c r="I31" s="1165"/>
    </row>
    <row r="32" spans="1:9" s="1134" customFormat="1" ht="14.25" customHeight="1">
      <c r="A32" s="1139"/>
      <c r="B32" s="1172"/>
      <c r="C32" s="27">
        <v>300</v>
      </c>
      <c r="D32" s="28" t="b">
        <f>C15=C16+C17+C18+C19+C20</f>
        <v>1</v>
      </c>
      <c r="E32" s="38" t="s">
        <v>1363</v>
      </c>
      <c r="F32" s="1165"/>
      <c r="G32" s="1165"/>
      <c r="H32" s="1165"/>
      <c r="I32" s="1165"/>
    </row>
    <row r="33" spans="1:12" s="1134" customFormat="1" ht="14.25" customHeight="1">
      <c r="A33" s="1139"/>
      <c r="B33" s="1172"/>
      <c r="C33" s="27">
        <v>310</v>
      </c>
      <c r="D33" s="28" t="b">
        <f>D15=D16+D17+D18+D19+D20</f>
        <v>1</v>
      </c>
      <c r="E33" s="38" t="s">
        <v>1364</v>
      </c>
      <c r="F33" s="1165"/>
      <c r="G33" s="1165"/>
      <c r="H33" s="1165"/>
      <c r="I33" s="1165"/>
    </row>
    <row r="34" spans="1:12" s="1134" customFormat="1" ht="14.25" customHeight="1">
      <c r="A34" s="1139"/>
      <c r="B34" s="1172"/>
      <c r="C34" s="27">
        <v>320</v>
      </c>
      <c r="D34" s="28" t="b">
        <f>E15=E16+E17+E18+E19+E20</f>
        <v>1</v>
      </c>
      <c r="E34" s="38" t="s">
        <v>1365</v>
      </c>
      <c r="F34" s="1165"/>
      <c r="G34" s="1165"/>
      <c r="H34" s="1165"/>
      <c r="I34" s="1165"/>
    </row>
    <row r="35" spans="1:12" s="1134" customFormat="1" ht="14.25" customHeight="1">
      <c r="A35" s="1139"/>
      <c r="B35" s="1172"/>
      <c r="C35" s="27">
        <v>330</v>
      </c>
      <c r="D35" s="28" t="b">
        <f>C21=C4+C5+C9+C15</f>
        <v>1</v>
      </c>
      <c r="E35" s="38" t="s">
        <v>1366</v>
      </c>
      <c r="F35" s="1165"/>
      <c r="G35" s="1165"/>
      <c r="H35" s="1165"/>
      <c r="I35" s="1165"/>
    </row>
    <row r="36" spans="1:12" s="1134" customFormat="1" ht="14.25" customHeight="1">
      <c r="A36" s="1139"/>
      <c r="B36" s="1172"/>
      <c r="C36" s="27">
        <v>340</v>
      </c>
      <c r="D36" s="28" t="b">
        <f>D21=D4+D5+D9+D15</f>
        <v>1</v>
      </c>
      <c r="E36" s="38" t="s">
        <v>1367</v>
      </c>
      <c r="F36" s="1165"/>
      <c r="G36" s="1165"/>
      <c r="H36" s="1165"/>
      <c r="I36" s="1165"/>
    </row>
    <row r="37" spans="1:12" s="1134" customFormat="1" ht="14.25" customHeight="1">
      <c r="A37" s="1139"/>
      <c r="B37" s="1172"/>
      <c r="C37" s="27">
        <v>350</v>
      </c>
      <c r="D37" s="28" t="b">
        <f>E21=E4+E5+E9+E15</f>
        <v>1</v>
      </c>
      <c r="E37" s="38" t="s">
        <v>1368</v>
      </c>
      <c r="F37" s="1165"/>
      <c r="G37" s="1165"/>
      <c r="H37" s="1165"/>
      <c r="I37" s="1165"/>
    </row>
    <row r="38" spans="1:12" s="1134" customFormat="1" ht="13.5">
      <c r="A38" s="1135" t="s">
        <v>2969</v>
      </c>
      <c r="B38" s="1173"/>
      <c r="C38" s="1119">
        <v>360</v>
      </c>
      <c r="D38" s="1120" t="b">
        <f>C21='1.1'!F4</f>
        <v>1</v>
      </c>
      <c r="E38" s="1121" t="s">
        <v>2965</v>
      </c>
      <c r="F38" s="1135"/>
      <c r="G38" s="1135"/>
      <c r="H38" s="1135"/>
    </row>
    <row r="39" spans="1:12" s="1134" customFormat="1" ht="13.5">
      <c r="A39" s="1135" t="s">
        <v>2969</v>
      </c>
      <c r="B39" s="1173"/>
      <c r="C39" s="1119">
        <v>370</v>
      </c>
      <c r="D39" s="1120" t="b">
        <f>D21='1.1'!G4</f>
        <v>1</v>
      </c>
      <c r="E39" s="1121" t="s">
        <v>2966</v>
      </c>
      <c r="F39" s="1121"/>
      <c r="G39" s="1121"/>
      <c r="H39" s="1121"/>
      <c r="I39" s="38"/>
      <c r="J39" s="38"/>
      <c r="K39" s="38"/>
      <c r="L39" s="38"/>
    </row>
    <row r="40" spans="1:12" s="1134" customFormat="1" ht="13.5">
      <c r="A40" s="1135" t="s">
        <v>2969</v>
      </c>
      <c r="B40" s="1173"/>
      <c r="C40" s="1119">
        <v>380</v>
      </c>
      <c r="D40" s="1120" t="b">
        <f>E21='1.1'!H4</f>
        <v>1</v>
      </c>
      <c r="E40" s="1121" t="s">
        <v>2967</v>
      </c>
      <c r="F40" s="1121"/>
      <c r="G40" s="1121"/>
      <c r="H40" s="1121"/>
      <c r="I40" s="38"/>
      <c r="J40" s="38"/>
      <c r="K40" s="38"/>
      <c r="L40" s="38"/>
    </row>
    <row r="41" spans="1:12" s="1134" customFormat="1" ht="13.5">
      <c r="A41" s="1139"/>
      <c r="C41" s="27"/>
    </row>
    <row r="42" spans="1:12">
      <c r="A42" s="2"/>
    </row>
    <row r="43" spans="1:12">
      <c r="A43" s="2"/>
    </row>
    <row r="44" spans="1:12">
      <c r="A44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E26" sqref="E26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E26" sqref="E26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22:E22"/>
  </mergeCells>
  <phoneticPr fontId="8" type="noConversion"/>
  <pageMargins left="0.75" right="0.75" top="1" bottom="1" header="0.5" footer="0.5"/>
  <pageSetup paperSize="8" scale="168" orientation="landscape" r:id="rId4"/>
  <headerFooter alignWithMargins="0">
    <oddHeader>&amp;C3 B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G11"/>
  <sheetViews>
    <sheetView showGridLines="0" topLeftCell="C1" zoomScale="115" zoomScaleNormal="115" workbookViewId="0">
      <selection activeCell="E11" sqref="E11"/>
    </sheetView>
  </sheetViews>
  <sheetFormatPr defaultRowHeight="12.75"/>
  <cols>
    <col min="1" max="1" width="30.140625" customWidth="1"/>
    <col min="2" max="2" width="7.85546875" customWidth="1"/>
    <col min="3" max="3" width="14.85546875" customWidth="1"/>
    <col min="4" max="4" width="14.5703125" customWidth="1"/>
    <col min="5" max="5" width="13.85546875" customWidth="1"/>
    <col min="6" max="6" width="12.5703125" customWidth="1"/>
    <col min="7" max="7" width="12.42578125" customWidth="1"/>
    <col min="11" max="11" width="15.85546875" customWidth="1"/>
  </cols>
  <sheetData>
    <row r="1" spans="1:7" ht="15.75">
      <c r="A1" s="477" t="s">
        <v>2187</v>
      </c>
      <c r="B1" s="52"/>
      <c r="C1" s="279"/>
      <c r="D1" s="279"/>
      <c r="E1" s="279"/>
      <c r="F1" s="279"/>
      <c r="G1" s="279"/>
    </row>
    <row r="2" spans="1:7" ht="16.5" thickBot="1">
      <c r="A2" s="242" t="s">
        <v>637</v>
      </c>
      <c r="B2" s="278"/>
      <c r="C2" s="279"/>
      <c r="D2" s="279"/>
      <c r="E2" s="279"/>
      <c r="F2" s="279"/>
      <c r="G2" s="279"/>
    </row>
    <row r="3" spans="1:7" ht="169.5" thickBot="1">
      <c r="A3" s="367" t="s">
        <v>143</v>
      </c>
      <c r="B3" s="280"/>
      <c r="C3" s="271" t="s">
        <v>2510</v>
      </c>
      <c r="D3" s="271" t="s">
        <v>2511</v>
      </c>
      <c r="E3" s="271" t="s">
        <v>2519</v>
      </c>
      <c r="F3" s="271" t="s">
        <v>2085</v>
      </c>
      <c r="G3" s="271" t="s">
        <v>2086</v>
      </c>
    </row>
    <row r="4" spans="1:7" ht="15.75" thickBot="1">
      <c r="A4" s="601"/>
      <c r="B4" s="341" t="s">
        <v>1135</v>
      </c>
      <c r="C4" s="387" t="s">
        <v>526</v>
      </c>
      <c r="D4" s="318" t="s">
        <v>1415</v>
      </c>
      <c r="E4" s="387" t="s">
        <v>1118</v>
      </c>
      <c r="F4" s="387" t="s">
        <v>1126</v>
      </c>
      <c r="G4" s="387" t="s">
        <v>1127</v>
      </c>
    </row>
    <row r="5" spans="1:7" ht="15.75" thickBot="1">
      <c r="A5" s="543" t="s">
        <v>145</v>
      </c>
      <c r="B5" s="342">
        <v>7100</v>
      </c>
      <c r="C5" s="943">
        <v>20</v>
      </c>
      <c r="D5" s="1011"/>
      <c r="E5" s="990"/>
      <c r="F5" s="990"/>
      <c r="G5" s="990"/>
    </row>
    <row r="6" spans="1:7" ht="15.75" thickBot="1">
      <c r="A6" s="661" t="s">
        <v>2185</v>
      </c>
      <c r="B6" s="360">
        <v>7110</v>
      </c>
      <c r="C6" s="1012">
        <v>30</v>
      </c>
      <c r="D6" s="1013"/>
      <c r="E6" s="989"/>
      <c r="F6" s="989"/>
      <c r="G6" s="989"/>
    </row>
    <row r="7" spans="1:7" ht="15.75" thickBot="1">
      <c r="A7" s="543" t="s">
        <v>2186</v>
      </c>
      <c r="B7" s="428">
        <v>7120</v>
      </c>
      <c r="C7" s="943">
        <v>40</v>
      </c>
      <c r="D7" s="1011"/>
      <c r="E7" s="990"/>
      <c r="F7" s="990"/>
      <c r="G7" s="990"/>
    </row>
    <row r="8" spans="1:7" ht="17.25" customHeight="1" thickBot="1">
      <c r="A8" s="550" t="s">
        <v>830</v>
      </c>
      <c r="B8" s="341">
        <v>7999</v>
      </c>
      <c r="C8" s="941">
        <f>SUM(C5:C7)</f>
        <v>90</v>
      </c>
      <c r="D8" s="943">
        <v>30</v>
      </c>
      <c r="E8" s="931">
        <v>10</v>
      </c>
      <c r="F8" s="931">
        <v>10</v>
      </c>
      <c r="G8" s="931">
        <v>10</v>
      </c>
    </row>
    <row r="11" spans="1:7" s="12" customFormat="1" ht="13.5">
      <c r="A11" s="41"/>
      <c r="B11" s="45"/>
      <c r="C11" s="37">
        <v>50</v>
      </c>
      <c r="D11" s="28" t="b">
        <f>C8=SUM(C5:C7)</f>
        <v>1</v>
      </c>
      <c r="E11" s="29" t="s">
        <v>2469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7" sqref="A7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7" sqref="A7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81" orientation="landscape" r:id="rId4"/>
  <headerFooter alignWithMargins="0">
    <oddHeader>&amp;C39.B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15" workbookViewId="0"/>
  </sheetViews>
  <sheetFormatPr defaultRowHeight="12.75"/>
  <cols>
    <col min="1" max="1" width="18.140625" customWidth="1"/>
    <col min="2" max="2" width="7.5703125" customWidth="1"/>
    <col min="3" max="3" width="13.5703125" customWidth="1"/>
    <col min="4" max="4" width="12.7109375" customWidth="1"/>
  </cols>
  <sheetData>
    <row r="1" spans="1:5" ht="15.75">
      <c r="A1" s="477" t="s">
        <v>2187</v>
      </c>
      <c r="B1" s="52"/>
      <c r="C1" s="279"/>
      <c r="D1" s="279"/>
    </row>
    <row r="2" spans="1:5" ht="16.5" thickBot="1">
      <c r="A2" s="242" t="s">
        <v>951</v>
      </c>
      <c r="B2" s="278"/>
      <c r="C2" s="279"/>
      <c r="D2" s="279"/>
    </row>
    <row r="3" spans="1:5" ht="165" customHeight="1" thickBot="1">
      <c r="A3" s="280"/>
      <c r="B3" s="522"/>
      <c r="C3" s="659" t="s">
        <v>832</v>
      </c>
      <c r="D3" s="659" t="s">
        <v>833</v>
      </c>
    </row>
    <row r="4" spans="1:5" ht="15.75" thickBot="1">
      <c r="A4" s="551" t="s">
        <v>947</v>
      </c>
      <c r="B4" s="366"/>
      <c r="C4" s="366" t="s">
        <v>948</v>
      </c>
      <c r="D4" s="366" t="s">
        <v>949</v>
      </c>
    </row>
    <row r="5" spans="1:5" ht="15.75" thickBot="1">
      <c r="A5" s="601"/>
      <c r="B5" s="341" t="s">
        <v>1225</v>
      </c>
      <c r="C5" s="541" t="s">
        <v>1128</v>
      </c>
      <c r="D5" s="387" t="s">
        <v>952</v>
      </c>
    </row>
    <row r="6" spans="1:5" ht="15.75" thickBot="1">
      <c r="A6" s="543" t="s">
        <v>145</v>
      </c>
      <c r="B6" s="342">
        <v>7100</v>
      </c>
      <c r="C6" s="908">
        <v>10</v>
      </c>
      <c r="D6" s="1014"/>
    </row>
    <row r="7" spans="1:5" ht="15.75" thickBot="1">
      <c r="A7" s="543" t="s">
        <v>950</v>
      </c>
      <c r="B7" s="360">
        <v>7110</v>
      </c>
      <c r="C7" s="908">
        <v>15</v>
      </c>
      <c r="D7" s="1014"/>
    </row>
    <row r="8" spans="1:5" ht="15.75" thickBot="1">
      <c r="A8" s="543" t="s">
        <v>2186</v>
      </c>
      <c r="B8" s="428">
        <v>7120</v>
      </c>
      <c r="C8" s="908">
        <v>25</v>
      </c>
      <c r="D8" s="1014"/>
    </row>
    <row r="9" spans="1:5" ht="15.75" thickBot="1">
      <c r="A9" s="660" t="s">
        <v>1059</v>
      </c>
      <c r="B9" s="341">
        <v>7999</v>
      </c>
      <c r="C9" s="831">
        <f>SUM(C6:C8)</f>
        <v>50</v>
      </c>
      <c r="D9" s="1015">
        <v>10</v>
      </c>
    </row>
    <row r="10" spans="1:5" ht="15">
      <c r="A10" s="279"/>
      <c r="B10" s="279"/>
      <c r="C10" s="279"/>
      <c r="D10" s="279"/>
    </row>
    <row r="12" spans="1:5" s="12" customFormat="1" ht="13.5">
      <c r="A12" s="41"/>
      <c r="B12" s="45"/>
      <c r="C12" s="37">
        <v>60</v>
      </c>
      <c r="D12" s="28" t="b">
        <f>C9=SUM(C6:C8)</f>
        <v>1</v>
      </c>
      <c r="E12" s="29" t="s">
        <v>2470</v>
      </c>
    </row>
    <row r="13" spans="1:5">
      <c r="A13" s="2"/>
      <c r="B13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2" sqref="A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2" sqref="A2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portrait" r:id="rId4"/>
  <headerFooter alignWithMargins="0">
    <oddHeader>&amp;C39.C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5" zoomScaleNormal="100" workbookViewId="0"/>
  </sheetViews>
  <sheetFormatPr defaultRowHeight="12.75"/>
  <cols>
    <col min="1" max="1" width="15.42578125" customWidth="1"/>
    <col min="2" max="2" width="8.85546875" customWidth="1"/>
    <col min="3" max="3" width="11.85546875" customWidth="1"/>
    <col min="4" max="4" width="12.5703125" customWidth="1"/>
    <col min="5" max="5" width="11.85546875" customWidth="1"/>
    <col min="6" max="6" width="12" customWidth="1"/>
    <col min="7" max="7" width="13" customWidth="1"/>
    <col min="8" max="8" width="12.42578125" customWidth="1"/>
    <col min="10" max="10" width="27.140625" customWidth="1"/>
  </cols>
  <sheetData>
    <row r="1" spans="1:8" ht="15.75">
      <c r="A1" s="477" t="s">
        <v>2187</v>
      </c>
      <c r="B1" s="52"/>
      <c r="C1" s="52"/>
      <c r="D1" s="279"/>
      <c r="E1" s="279"/>
      <c r="F1" s="279"/>
      <c r="G1" s="279"/>
      <c r="H1" s="279"/>
    </row>
    <row r="2" spans="1:8" ht="16.5" thickBot="1">
      <c r="A2" s="242" t="s">
        <v>954</v>
      </c>
      <c r="B2" s="278"/>
      <c r="C2" s="279"/>
      <c r="D2" s="279"/>
      <c r="E2" s="279"/>
      <c r="F2" s="279"/>
      <c r="G2" s="279"/>
      <c r="H2" s="279"/>
    </row>
    <row r="3" spans="1:8" ht="135.75" customHeight="1" thickBot="1">
      <c r="A3" s="367"/>
      <c r="B3" s="368"/>
      <c r="C3" s="659" t="s">
        <v>834</v>
      </c>
      <c r="D3" s="659" t="s">
        <v>2415</v>
      </c>
      <c r="E3" s="659" t="s">
        <v>2416</v>
      </c>
      <c r="F3" s="659" t="s">
        <v>2417</v>
      </c>
      <c r="G3" s="659" t="s">
        <v>2418</v>
      </c>
      <c r="H3" s="659" t="s">
        <v>2419</v>
      </c>
    </row>
    <row r="4" spans="1:8" ht="45" thickBot="1">
      <c r="A4" s="280" t="s">
        <v>831</v>
      </c>
      <c r="B4" s="663"/>
      <c r="C4" s="1216" t="s">
        <v>953</v>
      </c>
      <c r="D4" s="1217"/>
      <c r="E4" s="1217"/>
      <c r="F4" s="1217"/>
      <c r="G4" s="1217"/>
      <c r="H4" s="1218"/>
    </row>
    <row r="5" spans="1:8" ht="15.75" thickBot="1">
      <c r="A5" s="601"/>
      <c r="B5" s="414" t="s">
        <v>636</v>
      </c>
      <c r="C5" s="292" t="s">
        <v>955</v>
      </c>
      <c r="D5" s="664" t="s">
        <v>956</v>
      </c>
      <c r="E5" s="292" t="s">
        <v>957</v>
      </c>
      <c r="F5" s="664" t="s">
        <v>958</v>
      </c>
      <c r="G5" s="292" t="s">
        <v>959</v>
      </c>
      <c r="H5" s="541" t="s">
        <v>960</v>
      </c>
    </row>
    <row r="6" spans="1:8" ht="15.75" thickBot="1">
      <c r="A6" s="543" t="s">
        <v>145</v>
      </c>
      <c r="B6" s="342">
        <v>7100</v>
      </c>
      <c r="C6" s="1015">
        <v>10</v>
      </c>
      <c r="D6" s="1015">
        <v>5</v>
      </c>
      <c r="E6" s="1016"/>
      <c r="F6" s="1016"/>
      <c r="G6" s="1016"/>
      <c r="H6" s="1014"/>
    </row>
    <row r="7" spans="1:8" ht="30.75" thickBot="1">
      <c r="A7" s="665" t="s">
        <v>950</v>
      </c>
      <c r="B7" s="360">
        <v>7110</v>
      </c>
      <c r="C7" s="1017">
        <v>15</v>
      </c>
      <c r="D7" s="1017">
        <v>10</v>
      </c>
      <c r="E7" s="1018"/>
      <c r="F7" s="1018"/>
      <c r="G7" s="1018"/>
      <c r="H7" s="1019"/>
    </row>
    <row r="8" spans="1:8" ht="15.75" thickBot="1">
      <c r="A8" s="557" t="s">
        <v>2186</v>
      </c>
      <c r="B8" s="428">
        <v>7120</v>
      </c>
      <c r="C8" s="1020">
        <v>25</v>
      </c>
      <c r="D8" s="1020">
        <v>20</v>
      </c>
      <c r="E8" s="1021"/>
      <c r="F8" s="1021"/>
      <c r="G8" s="1021"/>
      <c r="H8" s="1022"/>
    </row>
    <row r="9" spans="1:8" ht="15.75" thickBot="1">
      <c r="A9" s="660" t="s">
        <v>1059</v>
      </c>
      <c r="B9" s="246">
        <v>7999</v>
      </c>
      <c r="C9" s="1023">
        <f>SUM(C6:C8)</f>
        <v>50</v>
      </c>
      <c r="D9" s="1023">
        <f>SUM(D6:D8)</f>
        <v>35</v>
      </c>
      <c r="E9" s="908">
        <v>10</v>
      </c>
      <c r="F9" s="908">
        <v>10</v>
      </c>
      <c r="G9" s="908">
        <v>10</v>
      </c>
      <c r="H9" s="1015">
        <v>10</v>
      </c>
    </row>
    <row r="12" spans="1:8" s="12" customFormat="1" ht="13.5">
      <c r="A12" s="41"/>
      <c r="B12" s="45"/>
      <c r="C12" s="37">
        <v>70</v>
      </c>
      <c r="D12" s="28" t="b">
        <f>C9=SUM(C6:C8)</f>
        <v>1</v>
      </c>
      <c r="E12" s="29" t="s">
        <v>2471</v>
      </c>
    </row>
    <row r="13" spans="1:8" s="12" customFormat="1" ht="13.5">
      <c r="A13" s="41"/>
      <c r="B13" s="45"/>
      <c r="C13" s="37">
        <v>80</v>
      </c>
      <c r="D13" s="28" t="b">
        <f>D9=SUM(D6:D8)</f>
        <v>1</v>
      </c>
      <c r="E13" s="29" t="s">
        <v>2472</v>
      </c>
    </row>
    <row r="14" spans="1:8" s="12" customFormat="1" ht="13.5">
      <c r="A14" s="41"/>
      <c r="B14" s="45"/>
      <c r="C14" s="37">
        <v>90</v>
      </c>
      <c r="D14" s="28" t="b">
        <f>IF(D9,IF(C9,TRUE,FALSE),TRUE)</f>
        <v>1</v>
      </c>
      <c r="E14" s="29" t="s">
        <v>2473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C4:H4"/>
  </mergeCells>
  <phoneticPr fontId="8" type="noConversion"/>
  <pageMargins left="0.75" right="0.75" top="1" bottom="1" header="0.5" footer="0.5"/>
  <pageSetup paperSize="8" scale="175" orientation="landscape" r:id="rId4"/>
  <headerFooter alignWithMargins="0">
    <oddHeader>&amp;C39.D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115" zoomScaleNormal="115" zoomScaleSheetLayoutView="100" workbookViewId="0"/>
  </sheetViews>
  <sheetFormatPr defaultRowHeight="12.75"/>
  <cols>
    <col min="1" max="1" width="36.42578125" customWidth="1"/>
    <col min="2" max="2" width="8" customWidth="1"/>
    <col min="3" max="3" width="9" customWidth="1"/>
    <col min="5" max="5" width="8.85546875" customWidth="1"/>
    <col min="7" max="7" width="9.42578125" customWidth="1"/>
  </cols>
  <sheetData>
    <row r="1" spans="1:7" s="5" customFormat="1" ht="15.75">
      <c r="A1" s="477" t="s">
        <v>2584</v>
      </c>
      <c r="B1" s="52"/>
      <c r="C1" s="279"/>
      <c r="D1" s="279"/>
      <c r="E1" s="279"/>
      <c r="F1" s="279"/>
      <c r="G1" s="279"/>
    </row>
    <row r="2" spans="1:7" ht="16.5" thickBot="1">
      <c r="A2" s="242" t="s">
        <v>964</v>
      </c>
      <c r="B2" s="278"/>
      <c r="C2" s="279"/>
      <c r="D2" s="279"/>
      <c r="E2" s="279"/>
      <c r="F2" s="279"/>
      <c r="G2" s="279"/>
    </row>
    <row r="3" spans="1:7" ht="91.5" customHeight="1" thickBot="1">
      <c r="A3" s="340" t="s">
        <v>2420</v>
      </c>
      <c r="B3" s="340"/>
      <c r="C3" s="271" t="s">
        <v>961</v>
      </c>
      <c r="D3" s="271" t="s">
        <v>962</v>
      </c>
      <c r="E3" s="271" t="s">
        <v>522</v>
      </c>
      <c r="F3" s="271" t="s">
        <v>1591</v>
      </c>
      <c r="G3" s="271" t="s">
        <v>1852</v>
      </c>
    </row>
    <row r="4" spans="1:7" s="2" customFormat="1" ht="15.75" thickBot="1">
      <c r="A4" s="313"/>
      <c r="B4" s="452" t="s">
        <v>1134</v>
      </c>
      <c r="C4" s="387" t="s">
        <v>1013</v>
      </c>
      <c r="D4" s="387" t="s">
        <v>1014</v>
      </c>
      <c r="E4" s="387" t="s">
        <v>1015</v>
      </c>
      <c r="F4" s="387" t="s">
        <v>1016</v>
      </c>
      <c r="G4" s="387" t="s">
        <v>525</v>
      </c>
    </row>
    <row r="5" spans="1:7" ht="15.75" thickBot="1">
      <c r="A5" s="498" t="s">
        <v>1137</v>
      </c>
      <c r="B5" s="332">
        <v>7100</v>
      </c>
      <c r="C5" s="1024">
        <v>10</v>
      </c>
      <c r="D5" s="1024">
        <v>10</v>
      </c>
      <c r="E5" s="1024">
        <v>10</v>
      </c>
      <c r="F5" s="1024">
        <v>10</v>
      </c>
      <c r="G5" s="1025">
        <f t="shared" ref="G5:G10" si="0">SUM(C5:F5)</f>
        <v>40</v>
      </c>
    </row>
    <row r="6" spans="1:7" ht="30.75" thickBot="1">
      <c r="A6" s="498" t="s">
        <v>968</v>
      </c>
      <c r="B6" s="250">
        <v>7110</v>
      </c>
      <c r="C6" s="1024">
        <v>10</v>
      </c>
      <c r="D6" s="1024">
        <v>10</v>
      </c>
      <c r="E6" s="1024">
        <v>10</v>
      </c>
      <c r="F6" s="1024">
        <v>10</v>
      </c>
      <c r="G6" s="1025">
        <f t="shared" si="0"/>
        <v>40</v>
      </c>
    </row>
    <row r="7" spans="1:7" ht="15.75" thickBot="1">
      <c r="A7" s="498" t="s">
        <v>1101</v>
      </c>
      <c r="B7" s="250">
        <v>7120</v>
      </c>
      <c r="C7" s="1024">
        <v>10</v>
      </c>
      <c r="D7" s="1024">
        <v>10</v>
      </c>
      <c r="E7" s="1024">
        <v>10</v>
      </c>
      <c r="F7" s="1024">
        <v>10</v>
      </c>
      <c r="G7" s="1025">
        <f t="shared" si="0"/>
        <v>40</v>
      </c>
    </row>
    <row r="8" spans="1:7" ht="30.75" thickBot="1">
      <c r="A8" s="498" t="s">
        <v>963</v>
      </c>
      <c r="B8" s="250">
        <v>7130</v>
      </c>
      <c r="C8" s="1024">
        <v>10</v>
      </c>
      <c r="D8" s="1024">
        <v>10</v>
      </c>
      <c r="E8" s="1024">
        <v>10</v>
      </c>
      <c r="F8" s="1024">
        <v>10</v>
      </c>
      <c r="G8" s="1025">
        <f t="shared" si="0"/>
        <v>40</v>
      </c>
    </row>
    <row r="9" spans="1:7" ht="15.75" thickBot="1">
      <c r="A9" s="498" t="s">
        <v>349</v>
      </c>
      <c r="B9" s="250">
        <v>7140</v>
      </c>
      <c r="C9" s="1024">
        <v>10</v>
      </c>
      <c r="D9" s="1024">
        <v>10</v>
      </c>
      <c r="E9" s="1024">
        <v>10</v>
      </c>
      <c r="F9" s="1024">
        <v>10</v>
      </c>
      <c r="G9" s="1025">
        <f t="shared" si="0"/>
        <v>40</v>
      </c>
    </row>
    <row r="10" spans="1:7" ht="15.75" thickBot="1">
      <c r="A10" s="498" t="s">
        <v>1591</v>
      </c>
      <c r="B10" s="336">
        <v>7150</v>
      </c>
      <c r="C10" s="1024">
        <v>10</v>
      </c>
      <c r="D10" s="1024">
        <v>10</v>
      </c>
      <c r="E10" s="1024">
        <v>10</v>
      </c>
      <c r="F10" s="1024">
        <v>10</v>
      </c>
      <c r="G10" s="1025">
        <f t="shared" si="0"/>
        <v>40</v>
      </c>
    </row>
    <row r="11" spans="1:7" ht="15.75" thickBot="1">
      <c r="A11" s="617" t="s">
        <v>1059</v>
      </c>
      <c r="B11" s="452">
        <v>7199</v>
      </c>
      <c r="C11" s="1025">
        <f>SUM(C5:C10)</f>
        <v>60</v>
      </c>
      <c r="D11" s="1025">
        <f>SUM(D5:D10)</f>
        <v>60</v>
      </c>
      <c r="E11" s="1025">
        <f>SUM(E5:E10)</f>
        <v>60</v>
      </c>
      <c r="F11" s="1025">
        <f>SUM(F5:F10)</f>
        <v>60</v>
      </c>
      <c r="G11" s="1025">
        <f>SUM(G5:G10)</f>
        <v>240</v>
      </c>
    </row>
    <row r="14" spans="1:7" s="12" customFormat="1" ht="13.5">
      <c r="A14" s="41"/>
      <c r="B14" s="45"/>
      <c r="C14" s="37">
        <v>10</v>
      </c>
      <c r="D14" s="28" t="b">
        <f t="shared" ref="D14:D20" si="1">G5=SUM(C5:F5)</f>
        <v>1</v>
      </c>
      <c r="E14" s="29" t="s">
        <v>2474</v>
      </c>
    </row>
    <row r="15" spans="1:7" s="12" customFormat="1" ht="13.5">
      <c r="A15" s="41"/>
      <c r="B15" s="45"/>
      <c r="C15" s="37">
        <v>20</v>
      </c>
      <c r="D15" s="28" t="b">
        <f t="shared" si="1"/>
        <v>1</v>
      </c>
      <c r="E15" s="29" t="s">
        <v>2475</v>
      </c>
    </row>
    <row r="16" spans="1:7" s="12" customFormat="1" ht="13.5">
      <c r="A16" s="41"/>
      <c r="B16" s="45"/>
      <c r="C16" s="37">
        <v>30</v>
      </c>
      <c r="D16" s="28" t="b">
        <f t="shared" si="1"/>
        <v>1</v>
      </c>
      <c r="E16" s="29" t="s">
        <v>2476</v>
      </c>
    </row>
    <row r="17" spans="1:5" s="12" customFormat="1" ht="13.5">
      <c r="A17" s="41"/>
      <c r="B17" s="45"/>
      <c r="C17" s="27">
        <v>40</v>
      </c>
      <c r="D17" s="28" t="b">
        <f t="shared" si="1"/>
        <v>1</v>
      </c>
      <c r="E17" s="29" t="s">
        <v>1839</v>
      </c>
    </row>
    <row r="18" spans="1:5" s="12" customFormat="1" ht="13.5">
      <c r="A18" s="41"/>
      <c r="B18" s="45"/>
      <c r="C18" s="27">
        <v>50</v>
      </c>
      <c r="D18" s="28" t="b">
        <f t="shared" si="1"/>
        <v>1</v>
      </c>
      <c r="E18" s="29" t="s">
        <v>1840</v>
      </c>
    </row>
    <row r="19" spans="1:5" s="12" customFormat="1" ht="13.5">
      <c r="A19" s="41"/>
      <c r="B19" s="45"/>
      <c r="C19" s="27">
        <v>60</v>
      </c>
      <c r="D19" s="28" t="b">
        <f t="shared" si="1"/>
        <v>1</v>
      </c>
      <c r="E19" s="29" t="s">
        <v>1841</v>
      </c>
    </row>
    <row r="20" spans="1:5" s="12" customFormat="1" ht="13.5">
      <c r="A20" s="41"/>
      <c r="B20" s="45"/>
      <c r="C20" s="27">
        <v>70</v>
      </c>
      <c r="D20" s="28" t="b">
        <f t="shared" si="1"/>
        <v>1</v>
      </c>
      <c r="E20" s="29" t="s">
        <v>1842</v>
      </c>
    </row>
    <row r="21" spans="1:5" s="12" customFormat="1" ht="13.5">
      <c r="A21" s="41"/>
      <c r="B21" s="45"/>
      <c r="C21" s="27">
        <v>80</v>
      </c>
      <c r="D21" s="28" t="b">
        <f>C11=SUM(C5:C10)</f>
        <v>1</v>
      </c>
      <c r="E21" s="29" t="s">
        <v>1843</v>
      </c>
    </row>
    <row r="22" spans="1:5" s="12" customFormat="1" ht="13.5">
      <c r="A22" s="41"/>
      <c r="B22" s="45"/>
      <c r="C22" s="27">
        <v>90</v>
      </c>
      <c r="D22" s="28" t="b">
        <f>D11=SUM(D5:D10)</f>
        <v>1</v>
      </c>
      <c r="E22" s="29" t="s">
        <v>1844</v>
      </c>
    </row>
    <row r="23" spans="1:5" s="12" customFormat="1" ht="13.5">
      <c r="A23" s="41"/>
      <c r="B23" s="45"/>
      <c r="C23" s="27">
        <v>100</v>
      </c>
      <c r="D23" s="28" t="b">
        <f>E11=SUM(E5:E10)</f>
        <v>1</v>
      </c>
      <c r="E23" s="29" t="s">
        <v>1845</v>
      </c>
    </row>
    <row r="24" spans="1:5" s="12" customFormat="1" ht="13.5">
      <c r="A24" s="41"/>
      <c r="B24" s="45"/>
      <c r="C24" s="27">
        <v>110</v>
      </c>
      <c r="D24" s="28" t="b">
        <f>F11=SUM(F5:F10)</f>
        <v>1</v>
      </c>
      <c r="E24" s="29" t="s">
        <v>1846</v>
      </c>
    </row>
    <row r="25" spans="1:5" s="12" customFormat="1" ht="13.5">
      <c r="A25" s="41"/>
      <c r="B25" s="45"/>
      <c r="C25" s="27">
        <v>120</v>
      </c>
      <c r="D25" s="28" t="b">
        <f>G11=SUM(G5:G10)</f>
        <v>1</v>
      </c>
      <c r="E25" s="29" t="s">
        <v>1616</v>
      </c>
    </row>
    <row r="26" spans="1:5">
      <c r="D26" s="2"/>
    </row>
  </sheetData>
  <customSheetViews>
    <customSheetView guid="{5D819D0C-25F7-408A-B978-F4F86F7655CA}" showPageBreaks="1" showRuler="0">
      <selection activeCell="A23" sqref="A23"/>
      <colBreaks count="2" manualBreakCount="2">
        <brk id="7" max="1048575" man="1"/>
        <brk id="24" max="1048575" man="1"/>
      </colBreaks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4" sqref="A4"/>
      <colBreaks count="1" manualBreakCount="1">
        <brk id="7" max="1048575" man="1"/>
      </colBreaks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4" sqref="A4"/>
      <colBreaks count="1" manualBreakCount="1">
        <brk id="7" max="1048575" man="1"/>
      </colBreaks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75" orientation="landscape" r:id="rId4"/>
  <headerFooter alignWithMargins="0">
    <oddHeader>&amp;C40.A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115" zoomScaleNormal="115" zoomScaleSheetLayoutView="100" workbookViewId="0"/>
  </sheetViews>
  <sheetFormatPr defaultRowHeight="12.75"/>
  <cols>
    <col min="1" max="1" width="26" customWidth="1"/>
    <col min="2" max="2" width="8.140625" customWidth="1"/>
    <col min="3" max="3" width="8.5703125" customWidth="1"/>
    <col min="6" max="6" width="54.28515625" bestFit="1" customWidth="1"/>
    <col min="7" max="7" width="6.5703125" bestFit="1" customWidth="1"/>
    <col min="8" max="8" width="5.140625" bestFit="1" customWidth="1"/>
  </cols>
  <sheetData>
    <row r="1" spans="1:9" s="5" customFormat="1" ht="15.75">
      <c r="A1" s="477" t="s">
        <v>2584</v>
      </c>
      <c r="B1" s="52"/>
      <c r="C1" s="52"/>
      <c r="D1" s="279"/>
    </row>
    <row r="2" spans="1:9" ht="16.5" thickBot="1">
      <c r="A2" s="242" t="s">
        <v>1482</v>
      </c>
      <c r="B2" s="278"/>
      <c r="C2" s="279"/>
      <c r="D2" s="279"/>
    </row>
    <row r="3" spans="1:9" ht="30" thickBot="1">
      <c r="A3" s="340" t="s">
        <v>2585</v>
      </c>
      <c r="B3" s="629"/>
      <c r="C3" s="271" t="s">
        <v>1852</v>
      </c>
      <c r="D3" s="279"/>
    </row>
    <row r="4" spans="1:9" ht="15.75" thickBot="1">
      <c r="A4" s="313" t="s">
        <v>1479</v>
      </c>
      <c r="B4" s="666"/>
      <c r="C4" s="667"/>
      <c r="D4" s="279"/>
    </row>
    <row r="5" spans="1:9" ht="15.75" thickBot="1">
      <c r="A5" s="527" t="s">
        <v>1498</v>
      </c>
      <c r="B5" s="667"/>
      <c r="C5" s="666"/>
      <c r="D5" s="279"/>
    </row>
    <row r="6" spans="1:9" ht="15.75" thickBot="1">
      <c r="A6" s="527"/>
      <c r="B6" s="256" t="s">
        <v>1135</v>
      </c>
      <c r="C6" s="387" t="s">
        <v>526</v>
      </c>
      <c r="D6" s="279"/>
    </row>
    <row r="7" spans="1:9" ht="15.75" thickBot="1">
      <c r="A7" s="298" t="s">
        <v>1480</v>
      </c>
      <c r="B7" s="332">
        <v>7200</v>
      </c>
      <c r="C7" s="928">
        <v>200</v>
      </c>
      <c r="D7" s="279"/>
    </row>
    <row r="8" spans="1:9" ht="15.75" thickBot="1">
      <c r="A8" s="298" t="s">
        <v>1481</v>
      </c>
      <c r="B8" s="336">
        <v>7210</v>
      </c>
      <c r="C8" s="928">
        <v>200</v>
      </c>
      <c r="D8" s="279"/>
    </row>
    <row r="9" spans="1:9" ht="15">
      <c r="A9" s="279"/>
      <c r="B9" s="279"/>
      <c r="C9" s="279"/>
      <c r="D9" s="279"/>
    </row>
    <row r="10" spans="1:9" ht="15">
      <c r="A10" s="279"/>
      <c r="B10" s="279"/>
      <c r="C10" s="279"/>
      <c r="D10" s="279"/>
      <c r="E10" s="279"/>
      <c r="F10" s="279"/>
      <c r="G10" s="279"/>
      <c r="H10" s="279"/>
      <c r="I10" s="279"/>
    </row>
    <row r="11" spans="1:9" s="12" customFormat="1" ht="13.5" hidden="1">
      <c r="A11" s="26"/>
      <c r="B11" s="30"/>
      <c r="C11" s="37">
        <v>140</v>
      </c>
      <c r="D11" s="28" t="e">
        <f>#REF!&lt;=#REF!</f>
        <v>#REF!</v>
      </c>
      <c r="E11" s="29" t="s">
        <v>2322</v>
      </c>
    </row>
    <row r="14" spans="1:9">
      <c r="A14" s="92"/>
      <c r="B14" s="92"/>
      <c r="C14" s="92"/>
      <c r="D14" s="101"/>
      <c r="E14" s="5"/>
    </row>
    <row r="15" spans="1:9">
      <c r="A15" s="102"/>
      <c r="B15" s="102"/>
      <c r="C15" s="18"/>
      <c r="D15" s="18"/>
    </row>
    <row r="16" spans="1:9">
      <c r="A16" s="89"/>
      <c r="B16" s="89"/>
      <c r="C16" s="111"/>
      <c r="D16" s="18"/>
    </row>
    <row r="17" spans="1:4">
      <c r="A17" s="89"/>
      <c r="B17" s="89"/>
      <c r="C17" s="8"/>
      <c r="D17" s="18"/>
    </row>
    <row r="18" spans="1:4">
      <c r="A18" s="8"/>
      <c r="B18" s="8"/>
      <c r="C18" s="89"/>
      <c r="D18" s="18"/>
    </row>
    <row r="19" spans="1:4">
      <c r="A19" s="8"/>
      <c r="B19" s="8"/>
      <c r="C19" s="96"/>
      <c r="D19" s="18"/>
    </row>
    <row r="20" spans="1:4">
      <c r="A20" s="8"/>
      <c r="B20" s="7"/>
      <c r="C20" s="8"/>
      <c r="D20" s="18"/>
    </row>
    <row r="21" spans="1:4">
      <c r="A21" s="8"/>
      <c r="B21" s="7"/>
      <c r="C21" s="8"/>
      <c r="D21" s="1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6" sqref="A6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A6" sqref="A6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35" orientation="landscape" r:id="rId4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/>
  </sheetViews>
  <sheetFormatPr defaultRowHeight="12.75"/>
  <cols>
    <col min="1" max="1" width="35.7109375" customWidth="1"/>
    <col min="2" max="2" width="8.7109375" customWidth="1"/>
    <col min="4" max="4" width="12.140625" customWidth="1"/>
    <col min="9" max="9" width="52" bestFit="1" customWidth="1"/>
    <col min="10" max="10" width="6.5703125" bestFit="1" customWidth="1"/>
    <col min="11" max="12" width="6.42578125" bestFit="1" customWidth="1"/>
    <col min="13" max="13" width="8.85546875" bestFit="1" customWidth="1"/>
    <col min="14" max="14" width="5.7109375" bestFit="1" customWidth="1"/>
    <col min="15" max="15" width="5" bestFit="1" customWidth="1"/>
  </cols>
  <sheetData>
    <row r="1" spans="1:7" s="6" customFormat="1" ht="15.75">
      <c r="A1" s="477" t="s">
        <v>2584</v>
      </c>
      <c r="B1" s="52"/>
      <c r="C1" s="52"/>
      <c r="D1" s="52"/>
      <c r="E1" s="52"/>
      <c r="F1" s="52"/>
      <c r="G1" s="52"/>
    </row>
    <row r="2" spans="1:7" ht="16.5" thickBot="1">
      <c r="A2" s="242" t="s">
        <v>245</v>
      </c>
      <c r="B2" s="278"/>
      <c r="C2" s="279"/>
      <c r="D2" s="279"/>
      <c r="E2" s="279"/>
      <c r="F2" s="279"/>
      <c r="G2" s="279"/>
    </row>
    <row r="3" spans="1:7" ht="105.75" customHeight="1" thickBot="1">
      <c r="A3" s="340" t="s">
        <v>2421</v>
      </c>
      <c r="B3" s="340"/>
      <c r="C3" s="271" t="s">
        <v>961</v>
      </c>
      <c r="D3" s="271" t="s">
        <v>962</v>
      </c>
      <c r="E3" s="271" t="s">
        <v>522</v>
      </c>
      <c r="F3" s="271" t="s">
        <v>1591</v>
      </c>
      <c r="G3" s="271" t="s">
        <v>1852</v>
      </c>
    </row>
    <row r="4" spans="1:7" ht="15.75" thickBot="1">
      <c r="A4" s="313"/>
      <c r="B4" s="452" t="s">
        <v>1225</v>
      </c>
      <c r="C4" s="387" t="s">
        <v>1013</v>
      </c>
      <c r="D4" s="387" t="s">
        <v>1014</v>
      </c>
      <c r="E4" s="387" t="s">
        <v>1015</v>
      </c>
      <c r="F4" s="387" t="s">
        <v>1016</v>
      </c>
      <c r="G4" s="387" t="s">
        <v>525</v>
      </c>
    </row>
    <row r="5" spans="1:7" ht="15.75" thickBot="1">
      <c r="A5" s="617" t="s">
        <v>1059</v>
      </c>
      <c r="B5" s="452">
        <v>7299</v>
      </c>
      <c r="C5" s="459">
        <v>30</v>
      </c>
      <c r="D5" s="459">
        <v>30</v>
      </c>
      <c r="E5" s="459">
        <v>30</v>
      </c>
      <c r="F5" s="459">
        <v>30</v>
      </c>
      <c r="G5" s="1090">
        <f>SUM(C5:F5)</f>
        <v>120</v>
      </c>
    </row>
    <row r="6" spans="1:7">
      <c r="A6" s="8"/>
      <c r="B6" s="7"/>
      <c r="C6" s="8"/>
      <c r="D6" s="8"/>
      <c r="E6" s="8"/>
      <c r="F6" s="8"/>
      <c r="G6" s="89"/>
    </row>
    <row r="7" spans="1:7">
      <c r="A7" s="8"/>
      <c r="B7" s="7"/>
      <c r="C7" s="8"/>
      <c r="D7" s="8"/>
      <c r="E7" s="8"/>
      <c r="F7" s="8"/>
      <c r="G7" s="89"/>
    </row>
    <row r="8" spans="1:7">
      <c r="A8" s="89"/>
      <c r="B8" s="7"/>
      <c r="C8" s="89"/>
      <c r="D8" s="89"/>
      <c r="E8" s="89"/>
      <c r="F8" s="89"/>
      <c r="G8" s="89"/>
    </row>
    <row r="9" spans="1:7" s="12" customFormat="1" ht="13.5">
      <c r="A9" s="41"/>
      <c r="B9" s="1102"/>
      <c r="C9" s="37">
        <v>210</v>
      </c>
      <c r="D9" s="28" t="b">
        <f>G5=SUM(C5:F5)</f>
        <v>1</v>
      </c>
      <c r="E9" s="29" t="s">
        <v>1922</v>
      </c>
    </row>
    <row r="10" spans="1:7">
      <c r="A10" s="89"/>
      <c r="B10" s="89"/>
      <c r="C10" s="111"/>
      <c r="D10" s="111"/>
      <c r="E10" s="111"/>
      <c r="F10" s="111"/>
      <c r="G10" s="111"/>
    </row>
    <row r="11" spans="1:7">
      <c r="A11" s="89"/>
      <c r="B11" s="7"/>
      <c r="C11" s="96"/>
      <c r="D11" s="96"/>
      <c r="E11" s="96"/>
      <c r="F11" s="96"/>
      <c r="G11" s="96"/>
    </row>
    <row r="12" spans="1:7">
      <c r="A12" s="89"/>
      <c r="B12" s="7"/>
      <c r="C12" s="89"/>
      <c r="D12" s="89"/>
      <c r="E12" s="89"/>
      <c r="F12" s="89"/>
      <c r="G12" s="89"/>
    </row>
    <row r="13" spans="1:7">
      <c r="A13" s="18"/>
      <c r="B13" s="18"/>
      <c r="C13" s="18"/>
      <c r="D13" s="18"/>
      <c r="E13" s="18"/>
      <c r="F13" s="18"/>
      <c r="G13" s="1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landscape" r:id="rId4"/>
  <headerFooter alignWithMargins="0">
    <oddHeader xml:space="preserve">&amp;C40.C
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="130" workbookViewId="0"/>
  </sheetViews>
  <sheetFormatPr defaultRowHeight="12.75"/>
  <cols>
    <col min="1" max="1" width="28.7109375" customWidth="1"/>
    <col min="2" max="2" width="8" customWidth="1"/>
    <col min="3" max="3" width="9.42578125" customWidth="1"/>
    <col min="6" max="6" width="52.7109375" bestFit="1" customWidth="1"/>
    <col min="7" max="7" width="6.7109375" bestFit="1" customWidth="1"/>
    <col min="8" max="8" width="5.28515625" bestFit="1" customWidth="1"/>
  </cols>
  <sheetData>
    <row r="1" spans="1:4" s="5" customFormat="1" ht="15.75">
      <c r="A1" s="477" t="s">
        <v>2584</v>
      </c>
      <c r="B1" s="52"/>
      <c r="C1" s="52"/>
      <c r="D1" s="52"/>
    </row>
    <row r="2" spans="1:4" ht="16.5" thickBot="1">
      <c r="A2" s="242" t="s">
        <v>248</v>
      </c>
      <c r="B2" s="278"/>
      <c r="C2" s="279"/>
      <c r="D2" s="279"/>
    </row>
    <row r="3" spans="1:4" ht="45" customHeight="1" thickBot="1">
      <c r="A3" s="340" t="s">
        <v>246</v>
      </c>
      <c r="B3" s="629"/>
      <c r="C3" s="271" t="s">
        <v>1852</v>
      </c>
      <c r="D3" s="279"/>
    </row>
    <row r="4" spans="1:4" ht="15.75" thickBot="1">
      <c r="A4" s="313" t="s">
        <v>247</v>
      </c>
      <c r="B4" s="666"/>
      <c r="C4" s="667"/>
      <c r="D4" s="279"/>
    </row>
    <row r="5" spans="1:4" ht="30.75" thickBot="1">
      <c r="A5" s="527" t="s">
        <v>1205</v>
      </c>
      <c r="B5" s="667"/>
      <c r="C5" s="667"/>
      <c r="D5" s="279"/>
    </row>
    <row r="6" spans="1:4" ht="15.75" thickBot="1">
      <c r="A6" s="527"/>
      <c r="B6" s="452" t="s">
        <v>636</v>
      </c>
      <c r="C6" s="387" t="s">
        <v>526</v>
      </c>
      <c r="D6" s="279"/>
    </row>
    <row r="7" spans="1:4" ht="15.75" thickBot="1">
      <c r="A7" s="298" t="s">
        <v>1830</v>
      </c>
      <c r="B7" s="332">
        <v>7300</v>
      </c>
      <c r="C7" s="928">
        <v>100</v>
      </c>
      <c r="D7" s="279"/>
    </row>
    <row r="8" spans="1:4" ht="15.75" thickBot="1">
      <c r="A8" s="298" t="s">
        <v>1481</v>
      </c>
      <c r="B8" s="336">
        <v>7310</v>
      </c>
      <c r="C8" s="928">
        <v>100</v>
      </c>
      <c r="D8" s="279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15" orientation="landscape" r:id="rId4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118"/>
  <sheetViews>
    <sheetView showGridLines="0" zoomScaleNormal="100" workbookViewId="0"/>
  </sheetViews>
  <sheetFormatPr defaultRowHeight="12.75"/>
  <cols>
    <col min="1" max="1" width="27.42578125" customWidth="1"/>
    <col min="4" max="4" width="17.7109375" customWidth="1"/>
    <col min="12" max="12" width="16.42578125" customWidth="1"/>
  </cols>
  <sheetData>
    <row r="1" spans="1:11" s="5" customFormat="1" ht="16.5" thickBot="1">
      <c r="A1" s="477" t="s">
        <v>2422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59.75" customHeight="1" thickBot="1">
      <c r="A2" s="374" t="s">
        <v>1889</v>
      </c>
      <c r="B2" s="271" t="s">
        <v>137</v>
      </c>
      <c r="C2" s="668"/>
      <c r="D2" s="271" t="s">
        <v>2287</v>
      </c>
      <c r="E2" s="271" t="s">
        <v>2288</v>
      </c>
      <c r="F2" s="271" t="s">
        <v>2289</v>
      </c>
      <c r="G2" s="271" t="s">
        <v>2290</v>
      </c>
      <c r="H2" s="271" t="s">
        <v>2291</v>
      </c>
      <c r="I2" s="271" t="s">
        <v>2292</v>
      </c>
      <c r="J2" s="271" t="s">
        <v>2293</v>
      </c>
      <c r="K2" s="271" t="s">
        <v>1852</v>
      </c>
    </row>
    <row r="3" spans="1:11" ht="15.75" thickBot="1">
      <c r="A3" s="675" t="s">
        <v>1060</v>
      </c>
      <c r="B3" s="246" t="s">
        <v>2294</v>
      </c>
      <c r="C3" s="669"/>
      <c r="D3" s="246" t="s">
        <v>2295</v>
      </c>
      <c r="E3" s="675" t="s">
        <v>2296</v>
      </c>
      <c r="F3" s="675" t="s">
        <v>2426</v>
      </c>
      <c r="G3" s="246" t="s">
        <v>2427</v>
      </c>
      <c r="H3" s="282" t="s">
        <v>2428</v>
      </c>
      <c r="I3" s="282" t="s">
        <v>2429</v>
      </c>
      <c r="J3" s="282" t="s">
        <v>2430</v>
      </c>
      <c r="K3" s="282" t="s">
        <v>740</v>
      </c>
    </row>
    <row r="4" spans="1:11" ht="15.75" thickBot="1">
      <c r="A4" s="624"/>
      <c r="B4" s="349"/>
      <c r="C4" s="414" t="s">
        <v>1134</v>
      </c>
      <c r="D4" s="371" t="s">
        <v>1013</v>
      </c>
      <c r="E4" s="670" t="s">
        <v>1014</v>
      </c>
      <c r="F4" s="670" t="s">
        <v>1015</v>
      </c>
      <c r="G4" s="616" t="s">
        <v>1016</v>
      </c>
      <c r="H4" s="283" t="s">
        <v>525</v>
      </c>
      <c r="I4" s="283" t="s">
        <v>526</v>
      </c>
      <c r="J4" s="283" t="s">
        <v>1415</v>
      </c>
      <c r="K4" s="283" t="s">
        <v>1118</v>
      </c>
    </row>
    <row r="5" spans="1:11" ht="30" thickBot="1">
      <c r="A5" s="365" t="s">
        <v>2431</v>
      </c>
      <c r="B5" s="421" t="s">
        <v>2294</v>
      </c>
      <c r="C5" s="66">
        <v>7100</v>
      </c>
      <c r="D5" s="1026">
        <f>SUM(D6:D11)</f>
        <v>55</v>
      </c>
      <c r="E5" s="1026">
        <f t="shared" ref="E5:J5" si="0">SUM(E6:E11)</f>
        <v>55</v>
      </c>
      <c r="F5" s="1026">
        <f t="shared" si="0"/>
        <v>55</v>
      </c>
      <c r="G5" s="1026">
        <f t="shared" si="0"/>
        <v>55</v>
      </c>
      <c r="H5" s="1026">
        <f t="shared" si="0"/>
        <v>55</v>
      </c>
      <c r="I5" s="1026">
        <f t="shared" si="0"/>
        <v>55</v>
      </c>
      <c r="J5" s="1026">
        <f t="shared" si="0"/>
        <v>55</v>
      </c>
      <c r="K5" s="1026">
        <f>SUM(D5:J5)</f>
        <v>385</v>
      </c>
    </row>
    <row r="6" spans="1:11" ht="15.75" thickBot="1">
      <c r="A6" s="543" t="s">
        <v>2432</v>
      </c>
      <c r="B6" s="256" t="s">
        <v>2294</v>
      </c>
      <c r="C6" s="68">
        <v>7110</v>
      </c>
      <c r="D6" s="1027">
        <v>10</v>
      </c>
      <c r="E6" s="1027">
        <v>10</v>
      </c>
      <c r="F6" s="1027">
        <v>10</v>
      </c>
      <c r="G6" s="1027">
        <v>10</v>
      </c>
      <c r="H6" s="1027">
        <v>10</v>
      </c>
      <c r="I6" s="1027">
        <v>10</v>
      </c>
      <c r="J6" s="1027">
        <v>10</v>
      </c>
      <c r="K6" s="1026">
        <f t="shared" ref="K6:K16" si="1">SUM(D6:J6)</f>
        <v>70</v>
      </c>
    </row>
    <row r="7" spans="1:11" ht="15.75" thickBot="1">
      <c r="A7" s="543" t="s">
        <v>2433</v>
      </c>
      <c r="B7" s="256" t="s">
        <v>2294</v>
      </c>
      <c r="C7" s="68">
        <v>7120</v>
      </c>
      <c r="D7" s="1027">
        <v>10</v>
      </c>
      <c r="E7" s="1027">
        <v>10</v>
      </c>
      <c r="F7" s="1027">
        <v>10</v>
      </c>
      <c r="G7" s="1027">
        <v>10</v>
      </c>
      <c r="H7" s="1027">
        <v>10</v>
      </c>
      <c r="I7" s="1027">
        <v>10</v>
      </c>
      <c r="J7" s="1027">
        <v>10</v>
      </c>
      <c r="K7" s="1026">
        <f t="shared" si="1"/>
        <v>70</v>
      </c>
    </row>
    <row r="8" spans="1:11" ht="15.75" thickBot="1">
      <c r="A8" s="543" t="s">
        <v>2434</v>
      </c>
      <c r="B8" s="256" t="s">
        <v>2294</v>
      </c>
      <c r="C8" s="68">
        <v>7130</v>
      </c>
      <c r="D8" s="1027">
        <v>10</v>
      </c>
      <c r="E8" s="1027">
        <v>10</v>
      </c>
      <c r="F8" s="1027">
        <v>10</v>
      </c>
      <c r="G8" s="1027">
        <v>10</v>
      </c>
      <c r="H8" s="1027">
        <v>10</v>
      </c>
      <c r="I8" s="1027">
        <v>10</v>
      </c>
      <c r="J8" s="1027">
        <v>10</v>
      </c>
      <c r="K8" s="1026">
        <f t="shared" si="1"/>
        <v>70</v>
      </c>
    </row>
    <row r="9" spans="1:11" ht="15.75" thickBot="1">
      <c r="A9" s="543" t="s">
        <v>2567</v>
      </c>
      <c r="B9" s="256" t="s">
        <v>2294</v>
      </c>
      <c r="C9" s="68">
        <v>7140</v>
      </c>
      <c r="D9" s="1027">
        <v>10</v>
      </c>
      <c r="E9" s="1027">
        <v>10</v>
      </c>
      <c r="F9" s="1027">
        <v>10</v>
      </c>
      <c r="G9" s="1027">
        <v>10</v>
      </c>
      <c r="H9" s="1027">
        <v>10</v>
      </c>
      <c r="I9" s="1027">
        <v>10</v>
      </c>
      <c r="J9" s="1027">
        <v>10</v>
      </c>
      <c r="K9" s="1026">
        <f t="shared" si="1"/>
        <v>70</v>
      </c>
    </row>
    <row r="10" spans="1:11" ht="15.75" thickBot="1">
      <c r="A10" s="543" t="s">
        <v>2569</v>
      </c>
      <c r="B10" s="256" t="s">
        <v>2294</v>
      </c>
      <c r="C10" s="68">
        <v>7150</v>
      </c>
      <c r="D10" s="1027">
        <v>10</v>
      </c>
      <c r="E10" s="1027">
        <v>10</v>
      </c>
      <c r="F10" s="1027">
        <v>10</v>
      </c>
      <c r="G10" s="1027">
        <v>10</v>
      </c>
      <c r="H10" s="1027">
        <v>10</v>
      </c>
      <c r="I10" s="1027">
        <v>10</v>
      </c>
      <c r="J10" s="1027">
        <v>10</v>
      </c>
      <c r="K10" s="1026">
        <f t="shared" si="1"/>
        <v>70</v>
      </c>
    </row>
    <row r="11" spans="1:11" ht="15.75" thickBot="1">
      <c r="A11" s="543" t="s">
        <v>1591</v>
      </c>
      <c r="B11" s="256" t="s">
        <v>2294</v>
      </c>
      <c r="C11" s="68">
        <v>7160</v>
      </c>
      <c r="D11" s="1027">
        <v>5</v>
      </c>
      <c r="E11" s="1027">
        <v>5</v>
      </c>
      <c r="F11" s="1027">
        <v>5</v>
      </c>
      <c r="G11" s="1027">
        <v>5</v>
      </c>
      <c r="H11" s="1027">
        <v>5</v>
      </c>
      <c r="I11" s="1027">
        <v>5</v>
      </c>
      <c r="J11" s="1027">
        <v>5</v>
      </c>
      <c r="K11" s="1026">
        <f t="shared" si="1"/>
        <v>35</v>
      </c>
    </row>
    <row r="12" spans="1:11" ht="15.75" thickBot="1">
      <c r="A12" s="365" t="s">
        <v>631</v>
      </c>
      <c r="B12" s="452" t="s">
        <v>2294</v>
      </c>
      <c r="C12" s="68">
        <v>7170</v>
      </c>
      <c r="D12" s="1026">
        <f>SUM(D13:D14)</f>
        <v>20</v>
      </c>
      <c r="E12" s="1026">
        <f t="shared" ref="E12:J12" si="2">SUM(E13:E14)</f>
        <v>20</v>
      </c>
      <c r="F12" s="1026">
        <f t="shared" si="2"/>
        <v>20</v>
      </c>
      <c r="G12" s="1026">
        <f t="shared" si="2"/>
        <v>20</v>
      </c>
      <c r="H12" s="1026">
        <f t="shared" si="2"/>
        <v>20</v>
      </c>
      <c r="I12" s="1026">
        <f t="shared" si="2"/>
        <v>20</v>
      </c>
      <c r="J12" s="1026">
        <f t="shared" si="2"/>
        <v>20</v>
      </c>
      <c r="K12" s="1026">
        <f t="shared" si="1"/>
        <v>140</v>
      </c>
    </row>
    <row r="13" spans="1:11" ht="15.75" thickBot="1">
      <c r="A13" s="543" t="s">
        <v>2435</v>
      </c>
      <c r="B13" s="256" t="s">
        <v>2294</v>
      </c>
      <c r="C13" s="68">
        <v>7180</v>
      </c>
      <c r="D13" s="1027">
        <v>10</v>
      </c>
      <c r="E13" s="1027">
        <v>10</v>
      </c>
      <c r="F13" s="1027">
        <v>10</v>
      </c>
      <c r="G13" s="1027">
        <v>10</v>
      </c>
      <c r="H13" s="1027">
        <v>10</v>
      </c>
      <c r="I13" s="1027">
        <v>10</v>
      </c>
      <c r="J13" s="1027">
        <v>10</v>
      </c>
      <c r="K13" s="1026">
        <f t="shared" si="1"/>
        <v>70</v>
      </c>
    </row>
    <row r="14" spans="1:11" ht="15.75" thickBot="1">
      <c r="A14" s="543" t="s">
        <v>2436</v>
      </c>
      <c r="B14" s="256" t="s">
        <v>2294</v>
      </c>
      <c r="C14" s="68">
        <v>7190</v>
      </c>
      <c r="D14" s="1027">
        <v>10</v>
      </c>
      <c r="E14" s="1027">
        <v>10</v>
      </c>
      <c r="F14" s="1027">
        <v>10</v>
      </c>
      <c r="G14" s="1027">
        <v>10</v>
      </c>
      <c r="H14" s="1027">
        <v>10</v>
      </c>
      <c r="I14" s="1027">
        <v>10</v>
      </c>
      <c r="J14" s="1027">
        <v>10</v>
      </c>
      <c r="K14" s="1026">
        <f t="shared" si="1"/>
        <v>70</v>
      </c>
    </row>
    <row r="15" spans="1:11" ht="15.75" thickBot="1">
      <c r="A15" s="365" t="s">
        <v>2437</v>
      </c>
      <c r="B15" s="256" t="s">
        <v>2294</v>
      </c>
      <c r="C15" s="68">
        <v>7200</v>
      </c>
      <c r="D15" s="1027">
        <v>10</v>
      </c>
      <c r="E15" s="1027">
        <v>10</v>
      </c>
      <c r="F15" s="1027">
        <v>10</v>
      </c>
      <c r="G15" s="1027">
        <v>10</v>
      </c>
      <c r="H15" s="1027">
        <v>10</v>
      </c>
      <c r="I15" s="1027">
        <v>10</v>
      </c>
      <c r="J15" s="1027">
        <v>10</v>
      </c>
      <c r="K15" s="1026">
        <f t="shared" si="1"/>
        <v>70</v>
      </c>
    </row>
    <row r="16" spans="1:11" ht="15.75" thickBot="1">
      <c r="A16" s="660" t="s">
        <v>1011</v>
      </c>
      <c r="B16" s="256" t="s">
        <v>2294</v>
      </c>
      <c r="C16" s="61">
        <v>7299</v>
      </c>
      <c r="D16" s="1026">
        <f>D5+D12+D15</f>
        <v>85</v>
      </c>
      <c r="E16" s="1026">
        <f t="shared" ref="E16:J16" si="3">E5+E12+E15</f>
        <v>85</v>
      </c>
      <c r="F16" s="1026">
        <f t="shared" si="3"/>
        <v>85</v>
      </c>
      <c r="G16" s="1026">
        <f t="shared" si="3"/>
        <v>85</v>
      </c>
      <c r="H16" s="1026">
        <f t="shared" si="3"/>
        <v>85</v>
      </c>
      <c r="I16" s="1026">
        <f t="shared" si="3"/>
        <v>85</v>
      </c>
      <c r="J16" s="1026">
        <f t="shared" si="3"/>
        <v>85</v>
      </c>
      <c r="K16" s="1026">
        <f t="shared" si="1"/>
        <v>595</v>
      </c>
    </row>
    <row r="17" spans="1:11" ht="15.75" thickBot="1">
      <c r="A17" s="673"/>
      <c r="B17" s="467"/>
      <c r="C17" s="467"/>
      <c r="D17" s="1028"/>
      <c r="E17" s="1029"/>
      <c r="F17" s="1029"/>
      <c r="G17" s="1029"/>
      <c r="H17" s="1030"/>
      <c r="I17" s="1030"/>
      <c r="J17" s="1029"/>
      <c r="K17" s="1029"/>
    </row>
    <row r="18" spans="1:11" ht="15.75" thickBot="1">
      <c r="A18" s="280" t="s">
        <v>2438</v>
      </c>
      <c r="B18" s="364" t="s">
        <v>2294</v>
      </c>
      <c r="C18" s="66">
        <v>7300</v>
      </c>
      <c r="D18" s="1026">
        <f>SUM(D19:D20)</f>
        <v>20</v>
      </c>
      <c r="E18" s="1026">
        <f t="shared" ref="E18:J18" si="4">SUM(E19:E20)</f>
        <v>20</v>
      </c>
      <c r="F18" s="1026">
        <f t="shared" si="4"/>
        <v>20</v>
      </c>
      <c r="G18" s="1026">
        <f t="shared" si="4"/>
        <v>20</v>
      </c>
      <c r="H18" s="1026">
        <f t="shared" si="4"/>
        <v>20</v>
      </c>
      <c r="I18" s="1026">
        <f t="shared" si="4"/>
        <v>20</v>
      </c>
      <c r="J18" s="1026">
        <f t="shared" si="4"/>
        <v>20</v>
      </c>
      <c r="K18" s="1026">
        <f t="shared" ref="K18:K31" si="5">SUM(D18:J18)</f>
        <v>140</v>
      </c>
    </row>
    <row r="19" spans="1:11" ht="15.75" thickBot="1">
      <c r="A19" s="543" t="s">
        <v>2439</v>
      </c>
      <c r="B19" s="256" t="s">
        <v>2294</v>
      </c>
      <c r="C19" s="68">
        <v>7310</v>
      </c>
      <c r="D19" s="1027">
        <v>10</v>
      </c>
      <c r="E19" s="1027">
        <v>10</v>
      </c>
      <c r="F19" s="1027">
        <v>10</v>
      </c>
      <c r="G19" s="1027">
        <v>10</v>
      </c>
      <c r="H19" s="1027">
        <v>10</v>
      </c>
      <c r="I19" s="1027">
        <v>10</v>
      </c>
      <c r="J19" s="1027">
        <v>10</v>
      </c>
      <c r="K19" s="1026">
        <f t="shared" si="5"/>
        <v>70</v>
      </c>
    </row>
    <row r="20" spans="1:11" ht="15.75" thickBot="1">
      <c r="A20" s="543" t="s">
        <v>2440</v>
      </c>
      <c r="B20" s="256" t="s">
        <v>2294</v>
      </c>
      <c r="C20" s="68">
        <v>7320</v>
      </c>
      <c r="D20" s="1027">
        <v>10</v>
      </c>
      <c r="E20" s="1027">
        <v>10</v>
      </c>
      <c r="F20" s="1027">
        <v>10</v>
      </c>
      <c r="G20" s="1027">
        <v>10</v>
      </c>
      <c r="H20" s="1027">
        <v>10</v>
      </c>
      <c r="I20" s="1027">
        <v>10</v>
      </c>
      <c r="J20" s="1027">
        <v>10</v>
      </c>
      <c r="K20" s="1026">
        <f t="shared" si="5"/>
        <v>70</v>
      </c>
    </row>
    <row r="21" spans="1:11" ht="15.75" thickBot="1">
      <c r="A21" s="365" t="s">
        <v>1475</v>
      </c>
      <c r="B21" s="256" t="s">
        <v>2294</v>
      </c>
      <c r="C21" s="68">
        <v>7330</v>
      </c>
      <c r="D21" s="1026">
        <f>SUM(D22:D24)</f>
        <v>40</v>
      </c>
      <c r="E21" s="1026">
        <f t="shared" ref="E21:J21" si="6">SUM(E22:E24)</f>
        <v>40</v>
      </c>
      <c r="F21" s="1026">
        <f t="shared" si="6"/>
        <v>40</v>
      </c>
      <c r="G21" s="1026">
        <f t="shared" si="6"/>
        <v>40</v>
      </c>
      <c r="H21" s="1026">
        <f t="shared" si="6"/>
        <v>40</v>
      </c>
      <c r="I21" s="1026">
        <f t="shared" si="6"/>
        <v>40</v>
      </c>
      <c r="J21" s="1026">
        <f t="shared" si="6"/>
        <v>40</v>
      </c>
      <c r="K21" s="1026">
        <f t="shared" si="5"/>
        <v>280</v>
      </c>
    </row>
    <row r="22" spans="1:11" ht="15.75" thickBot="1">
      <c r="A22" s="543" t="s">
        <v>2441</v>
      </c>
      <c r="B22" s="256" t="s">
        <v>2294</v>
      </c>
      <c r="C22" s="68">
        <v>7340</v>
      </c>
      <c r="D22" s="1027">
        <v>10</v>
      </c>
      <c r="E22" s="1027">
        <v>10</v>
      </c>
      <c r="F22" s="1027">
        <v>10</v>
      </c>
      <c r="G22" s="1027">
        <v>10</v>
      </c>
      <c r="H22" s="1027">
        <v>10</v>
      </c>
      <c r="I22" s="1027">
        <v>10</v>
      </c>
      <c r="J22" s="1027">
        <v>10</v>
      </c>
      <c r="K22" s="1026">
        <f t="shared" si="5"/>
        <v>70</v>
      </c>
    </row>
    <row r="23" spans="1:11" ht="15.75" thickBot="1">
      <c r="A23" s="543" t="s">
        <v>2325</v>
      </c>
      <c r="B23" s="256" t="s">
        <v>2294</v>
      </c>
      <c r="C23" s="68">
        <v>7350</v>
      </c>
      <c r="D23" s="1027">
        <v>10</v>
      </c>
      <c r="E23" s="1027">
        <v>10</v>
      </c>
      <c r="F23" s="1027">
        <v>10</v>
      </c>
      <c r="G23" s="1027">
        <v>10</v>
      </c>
      <c r="H23" s="1027">
        <v>10</v>
      </c>
      <c r="I23" s="1027">
        <v>10</v>
      </c>
      <c r="J23" s="1027">
        <v>10</v>
      </c>
      <c r="K23" s="1026">
        <f t="shared" si="5"/>
        <v>70</v>
      </c>
    </row>
    <row r="24" spans="1:11" ht="15.75" thickBot="1">
      <c r="A24" s="543" t="s">
        <v>1198</v>
      </c>
      <c r="B24" s="256" t="s">
        <v>2294</v>
      </c>
      <c r="C24" s="68">
        <v>7360</v>
      </c>
      <c r="D24" s="1026">
        <f>SUM(D25:D26)</f>
        <v>20</v>
      </c>
      <c r="E24" s="1026">
        <f t="shared" ref="E24:J24" si="7">SUM(E25:E26)</f>
        <v>20</v>
      </c>
      <c r="F24" s="1026">
        <f t="shared" si="7"/>
        <v>20</v>
      </c>
      <c r="G24" s="1026">
        <f t="shared" si="7"/>
        <v>20</v>
      </c>
      <c r="H24" s="1026">
        <f t="shared" si="7"/>
        <v>20</v>
      </c>
      <c r="I24" s="1026">
        <f t="shared" si="7"/>
        <v>20</v>
      </c>
      <c r="J24" s="1026">
        <f t="shared" si="7"/>
        <v>20</v>
      </c>
      <c r="K24" s="1026">
        <f t="shared" si="5"/>
        <v>140</v>
      </c>
    </row>
    <row r="25" spans="1:11" ht="15.75" thickBot="1">
      <c r="A25" s="543" t="s">
        <v>2442</v>
      </c>
      <c r="B25" s="256" t="s">
        <v>2294</v>
      </c>
      <c r="C25" s="68">
        <v>7370</v>
      </c>
      <c r="D25" s="1027">
        <v>10</v>
      </c>
      <c r="E25" s="1027">
        <v>10</v>
      </c>
      <c r="F25" s="1027">
        <v>10</v>
      </c>
      <c r="G25" s="1027">
        <v>10</v>
      </c>
      <c r="H25" s="1027">
        <v>10</v>
      </c>
      <c r="I25" s="1027">
        <v>10</v>
      </c>
      <c r="J25" s="1027">
        <v>10</v>
      </c>
      <c r="K25" s="1026">
        <f t="shared" si="5"/>
        <v>70</v>
      </c>
    </row>
    <row r="26" spans="1:11" ht="15.75" thickBot="1">
      <c r="A26" s="543" t="s">
        <v>2443</v>
      </c>
      <c r="B26" s="256" t="s">
        <v>2294</v>
      </c>
      <c r="C26" s="68">
        <v>7380</v>
      </c>
      <c r="D26" s="1027">
        <v>10</v>
      </c>
      <c r="E26" s="1027">
        <v>10</v>
      </c>
      <c r="F26" s="1027">
        <v>10</v>
      </c>
      <c r="G26" s="1027">
        <v>10</v>
      </c>
      <c r="H26" s="1027">
        <v>10</v>
      </c>
      <c r="I26" s="1027">
        <v>10</v>
      </c>
      <c r="J26" s="1027">
        <v>10</v>
      </c>
      <c r="K26" s="1026">
        <f t="shared" si="5"/>
        <v>70</v>
      </c>
    </row>
    <row r="27" spans="1:11" ht="15.75" thickBot="1">
      <c r="A27" s="365" t="s">
        <v>439</v>
      </c>
      <c r="B27" s="256" t="s">
        <v>2294</v>
      </c>
      <c r="C27" s="68">
        <v>7390</v>
      </c>
      <c r="D27" s="1031">
        <v>10</v>
      </c>
      <c r="E27" s="1031">
        <v>10</v>
      </c>
      <c r="F27" s="1031">
        <v>10</v>
      </c>
      <c r="G27" s="1031">
        <v>10</v>
      </c>
      <c r="H27" s="1031">
        <v>10</v>
      </c>
      <c r="I27" s="1031">
        <v>10</v>
      </c>
      <c r="J27" s="1031">
        <v>10</v>
      </c>
      <c r="K27" s="1026">
        <f t="shared" si="5"/>
        <v>70</v>
      </c>
    </row>
    <row r="28" spans="1:11" ht="15.75" thickBot="1">
      <c r="A28" s="660" t="s">
        <v>864</v>
      </c>
      <c r="B28" s="421" t="s">
        <v>2294</v>
      </c>
      <c r="C28" s="61">
        <v>7399</v>
      </c>
      <c r="D28" s="1026">
        <f>D18+D21+D27</f>
        <v>70</v>
      </c>
      <c r="E28" s="1026">
        <f t="shared" ref="E28:J28" si="8">E18+E21+E27</f>
        <v>70</v>
      </c>
      <c r="F28" s="1026">
        <f t="shared" si="8"/>
        <v>70</v>
      </c>
      <c r="G28" s="1026">
        <f t="shared" si="8"/>
        <v>70</v>
      </c>
      <c r="H28" s="1026">
        <f t="shared" si="8"/>
        <v>70</v>
      </c>
      <c r="I28" s="1026">
        <f t="shared" si="8"/>
        <v>70</v>
      </c>
      <c r="J28" s="1026">
        <f t="shared" si="8"/>
        <v>70</v>
      </c>
      <c r="K28" s="1026">
        <f t="shared" si="5"/>
        <v>490</v>
      </c>
    </row>
    <row r="29" spans="1:11" ht="30" thickBot="1">
      <c r="A29" s="365" t="s">
        <v>2444</v>
      </c>
      <c r="B29" s="421" t="s">
        <v>2318</v>
      </c>
      <c r="C29" s="68">
        <v>7400</v>
      </c>
      <c r="D29" s="1031">
        <v>10</v>
      </c>
      <c r="E29" s="1031">
        <v>10</v>
      </c>
      <c r="F29" s="1031">
        <v>10</v>
      </c>
      <c r="G29" s="1031">
        <v>10</v>
      </c>
      <c r="H29" s="1031">
        <v>10</v>
      </c>
      <c r="I29" s="1031">
        <v>10</v>
      </c>
      <c r="J29" s="1031">
        <v>10</v>
      </c>
      <c r="K29" s="1026">
        <f t="shared" si="5"/>
        <v>70</v>
      </c>
    </row>
    <row r="30" spans="1:11" ht="30" thickBot="1">
      <c r="A30" s="365" t="s">
        <v>2319</v>
      </c>
      <c r="B30" s="421" t="s">
        <v>2318</v>
      </c>
      <c r="C30" s="68">
        <v>7410</v>
      </c>
      <c r="D30" s="1031">
        <v>10</v>
      </c>
      <c r="E30" s="1031">
        <v>10</v>
      </c>
      <c r="F30" s="1031">
        <v>10</v>
      </c>
      <c r="G30" s="1031">
        <v>10</v>
      </c>
      <c r="H30" s="1031">
        <v>10</v>
      </c>
      <c r="I30" s="1031">
        <v>10</v>
      </c>
      <c r="J30" s="1031">
        <v>10</v>
      </c>
      <c r="K30" s="1026">
        <f t="shared" si="5"/>
        <v>70</v>
      </c>
    </row>
    <row r="31" spans="1:11" ht="30" thickBot="1">
      <c r="A31" s="365" t="s">
        <v>2320</v>
      </c>
      <c r="B31" s="421" t="s">
        <v>2321</v>
      </c>
      <c r="C31" s="70">
        <v>7420</v>
      </c>
      <c r="D31" s="1031">
        <v>10</v>
      </c>
      <c r="E31" s="1031">
        <v>10</v>
      </c>
      <c r="F31" s="1031">
        <v>10</v>
      </c>
      <c r="G31" s="1031">
        <v>10</v>
      </c>
      <c r="H31" s="1031">
        <v>10</v>
      </c>
      <c r="I31" s="1031">
        <v>10</v>
      </c>
      <c r="J31" s="1031">
        <v>10</v>
      </c>
      <c r="K31" s="1026">
        <f t="shared" si="5"/>
        <v>70</v>
      </c>
    </row>
    <row r="34" spans="1:5" s="1134" customFormat="1" ht="13.5">
      <c r="A34" s="1139"/>
      <c r="B34" s="37"/>
      <c r="C34" s="37">
        <v>10</v>
      </c>
      <c r="D34" s="28" t="b">
        <f>D5=SUM(D6:D11)</f>
        <v>1</v>
      </c>
      <c r="E34" s="29" t="s">
        <v>1923</v>
      </c>
    </row>
    <row r="35" spans="1:5" s="1134" customFormat="1" ht="13.5">
      <c r="A35" s="1139"/>
      <c r="B35" s="37"/>
      <c r="C35" s="37">
        <v>20</v>
      </c>
      <c r="D35" s="28" t="b">
        <f>E5=SUM(E6:E11)</f>
        <v>1</v>
      </c>
      <c r="E35" s="29" t="s">
        <v>1924</v>
      </c>
    </row>
    <row r="36" spans="1:5" s="1134" customFormat="1" ht="13.5">
      <c r="A36" s="1139"/>
      <c r="B36" s="37"/>
      <c r="C36" s="37">
        <v>30</v>
      </c>
      <c r="D36" s="28" t="b">
        <f>F5=SUM(F6:F11)</f>
        <v>1</v>
      </c>
      <c r="E36" s="29" t="s">
        <v>1925</v>
      </c>
    </row>
    <row r="37" spans="1:5" s="1134" customFormat="1" ht="13.5">
      <c r="A37" s="1139"/>
      <c r="B37" s="37"/>
      <c r="C37" s="37">
        <v>40</v>
      </c>
      <c r="D37" s="28" t="b">
        <f>G5=SUM(G6:G11)</f>
        <v>1</v>
      </c>
      <c r="E37" s="29" t="s">
        <v>1926</v>
      </c>
    </row>
    <row r="38" spans="1:5" s="1134" customFormat="1" ht="13.5">
      <c r="A38" s="1139"/>
      <c r="B38" s="37"/>
      <c r="C38" s="37">
        <v>50</v>
      </c>
      <c r="D38" s="28" t="b">
        <f>H5=SUM(H6:H11)</f>
        <v>1</v>
      </c>
      <c r="E38" s="29" t="s">
        <v>1927</v>
      </c>
    </row>
    <row r="39" spans="1:5" s="1134" customFormat="1" ht="13.5">
      <c r="A39" s="1139"/>
      <c r="B39" s="37"/>
      <c r="C39" s="37">
        <v>60</v>
      </c>
      <c r="D39" s="28" t="b">
        <f>I5=SUM(I6:I11)</f>
        <v>1</v>
      </c>
      <c r="E39" s="29" t="s">
        <v>1928</v>
      </c>
    </row>
    <row r="40" spans="1:5" s="1134" customFormat="1" ht="13.5">
      <c r="A40" s="1139"/>
      <c r="B40" s="37"/>
      <c r="C40" s="37">
        <v>70</v>
      </c>
      <c r="D40" s="28" t="b">
        <f>J5=SUM(J6:J11)</f>
        <v>1</v>
      </c>
      <c r="E40" s="29" t="s">
        <v>488</v>
      </c>
    </row>
    <row r="41" spans="1:5" s="1134" customFormat="1" ht="13.5">
      <c r="A41" s="1139"/>
      <c r="B41" s="37"/>
      <c r="C41" s="37">
        <v>80</v>
      </c>
      <c r="D41" s="28" t="b">
        <f>K5=SUM(K6:K11)</f>
        <v>1</v>
      </c>
      <c r="E41" s="29" t="s">
        <v>489</v>
      </c>
    </row>
    <row r="42" spans="1:5" s="1134" customFormat="1" ht="13.5">
      <c r="A42" s="1139"/>
      <c r="B42" s="37"/>
      <c r="C42" s="37">
        <v>90</v>
      </c>
      <c r="D42" s="28" t="b">
        <f>D12=D13+D14</f>
        <v>1</v>
      </c>
      <c r="E42" s="29" t="s">
        <v>490</v>
      </c>
    </row>
    <row r="43" spans="1:5" s="1134" customFormat="1" ht="13.5">
      <c r="A43" s="1139"/>
      <c r="B43" s="37"/>
      <c r="C43" s="37">
        <v>100</v>
      </c>
      <c r="D43" s="28" t="b">
        <f>E12=E13+E14</f>
        <v>1</v>
      </c>
      <c r="E43" s="29" t="s">
        <v>491</v>
      </c>
    </row>
    <row r="44" spans="1:5" s="1134" customFormat="1" ht="13.5">
      <c r="A44" s="1139"/>
      <c r="B44" s="37"/>
      <c r="C44" s="37">
        <v>110</v>
      </c>
      <c r="D44" s="28" t="b">
        <f>F12=F13+F14</f>
        <v>1</v>
      </c>
      <c r="E44" s="29" t="s">
        <v>492</v>
      </c>
    </row>
    <row r="45" spans="1:5" s="1134" customFormat="1" ht="13.5">
      <c r="A45" s="1139"/>
      <c r="B45" s="37"/>
      <c r="C45" s="37">
        <v>120</v>
      </c>
      <c r="D45" s="28" t="b">
        <f>G12=G13+G14</f>
        <v>1</v>
      </c>
      <c r="E45" s="29" t="s">
        <v>493</v>
      </c>
    </row>
    <row r="46" spans="1:5" s="1134" customFormat="1" ht="13.5">
      <c r="A46" s="1139"/>
      <c r="B46" s="37"/>
      <c r="C46" s="37">
        <v>130</v>
      </c>
      <c r="D46" s="28" t="b">
        <f>H12=H13+H14</f>
        <v>1</v>
      </c>
      <c r="E46" s="29" t="s">
        <v>494</v>
      </c>
    </row>
    <row r="47" spans="1:5" s="1134" customFormat="1" ht="13.5">
      <c r="A47" s="1139"/>
      <c r="B47" s="37"/>
      <c r="C47" s="37">
        <v>140</v>
      </c>
      <c r="D47" s="28" t="b">
        <f>I12=I13+I14</f>
        <v>1</v>
      </c>
      <c r="E47" s="29" t="s">
        <v>495</v>
      </c>
    </row>
    <row r="48" spans="1:5" s="1134" customFormat="1" ht="13.5">
      <c r="A48" s="1139"/>
      <c r="B48" s="37"/>
      <c r="C48" s="37">
        <v>150</v>
      </c>
      <c r="D48" s="28" t="b">
        <f>J12=J13+J14</f>
        <v>1</v>
      </c>
      <c r="E48" s="29" t="s">
        <v>496</v>
      </c>
    </row>
    <row r="49" spans="1:5" s="1134" customFormat="1" ht="13.5">
      <c r="A49" s="1139"/>
      <c r="B49" s="37"/>
      <c r="C49" s="37">
        <v>160</v>
      </c>
      <c r="D49" s="28" t="b">
        <f>K12=K13+K14</f>
        <v>1</v>
      </c>
      <c r="E49" s="29" t="s">
        <v>497</v>
      </c>
    </row>
    <row r="50" spans="1:5" s="1134" customFormat="1" ht="13.5">
      <c r="A50" s="1139"/>
      <c r="B50" s="37"/>
      <c r="C50" s="37">
        <v>170</v>
      </c>
      <c r="D50" s="28" t="b">
        <f>D16=D5+D12+D15</f>
        <v>1</v>
      </c>
      <c r="E50" s="29" t="s">
        <v>498</v>
      </c>
    </row>
    <row r="51" spans="1:5" s="1134" customFormat="1" ht="13.5">
      <c r="A51" s="1139"/>
      <c r="B51" s="37"/>
      <c r="C51" s="37">
        <v>180</v>
      </c>
      <c r="D51" s="28" t="b">
        <f>E16=E5+E12+E15</f>
        <v>1</v>
      </c>
      <c r="E51" s="29" t="s">
        <v>499</v>
      </c>
    </row>
    <row r="52" spans="1:5" s="1134" customFormat="1" ht="13.5">
      <c r="A52" s="1139"/>
      <c r="B52" s="37"/>
      <c r="C52" s="37">
        <v>190</v>
      </c>
      <c r="D52" s="28" t="b">
        <f>F16=F5+F12+F15</f>
        <v>1</v>
      </c>
      <c r="E52" s="29" t="s">
        <v>500</v>
      </c>
    </row>
    <row r="53" spans="1:5" s="1134" customFormat="1" ht="13.5">
      <c r="A53" s="1139"/>
      <c r="B53" s="37"/>
      <c r="C53" s="37">
        <v>200</v>
      </c>
      <c r="D53" s="28" t="b">
        <f>G16=G5+G12+G15</f>
        <v>1</v>
      </c>
      <c r="E53" s="29" t="s">
        <v>501</v>
      </c>
    </row>
    <row r="54" spans="1:5" s="1134" customFormat="1" ht="13.5">
      <c r="A54" s="1139"/>
      <c r="B54" s="37"/>
      <c r="C54" s="37">
        <v>210</v>
      </c>
      <c r="D54" s="28" t="b">
        <f>H16=H5+H12+H15</f>
        <v>1</v>
      </c>
      <c r="E54" s="29" t="s">
        <v>502</v>
      </c>
    </row>
    <row r="55" spans="1:5" s="1134" customFormat="1" ht="13.5">
      <c r="A55" s="1139"/>
      <c r="B55" s="37"/>
      <c r="C55" s="37">
        <v>220</v>
      </c>
      <c r="D55" s="28" t="b">
        <f>I16=I5+I12+I15</f>
        <v>1</v>
      </c>
      <c r="E55" s="29" t="s">
        <v>503</v>
      </c>
    </row>
    <row r="56" spans="1:5" s="1134" customFormat="1" ht="13.5">
      <c r="A56" s="1139"/>
      <c r="B56" s="37"/>
      <c r="C56" s="37">
        <v>230</v>
      </c>
      <c r="D56" s="28" t="b">
        <f>J16=J5+J12+J15</f>
        <v>1</v>
      </c>
      <c r="E56" s="29" t="s">
        <v>504</v>
      </c>
    </row>
    <row r="57" spans="1:5" s="1134" customFormat="1" ht="13.5">
      <c r="A57" s="1139"/>
      <c r="B57" s="37"/>
      <c r="C57" s="37">
        <v>240</v>
      </c>
      <c r="D57" s="28" t="b">
        <f>K16=K5+K12+K15</f>
        <v>1</v>
      </c>
      <c r="E57" s="29" t="s">
        <v>505</v>
      </c>
    </row>
    <row r="58" spans="1:5" s="1134" customFormat="1" ht="13.5">
      <c r="A58" s="1139"/>
      <c r="B58" s="37"/>
      <c r="C58" s="37">
        <v>250</v>
      </c>
      <c r="D58" s="28" t="b">
        <f>D18=D19+D20</f>
        <v>1</v>
      </c>
      <c r="E58" s="29" t="s">
        <v>506</v>
      </c>
    </row>
    <row r="59" spans="1:5" s="1134" customFormat="1" ht="13.5">
      <c r="A59" s="1139"/>
      <c r="B59" s="37"/>
      <c r="C59" s="37">
        <v>260</v>
      </c>
      <c r="D59" s="28" t="b">
        <f>E18=E19+E20</f>
        <v>1</v>
      </c>
      <c r="E59" s="29" t="s">
        <v>507</v>
      </c>
    </row>
    <row r="60" spans="1:5" s="1134" customFormat="1" ht="13.5">
      <c r="A60" s="1139"/>
      <c r="B60" s="37"/>
      <c r="C60" s="37">
        <v>270</v>
      </c>
      <c r="D60" s="28" t="b">
        <f>F18=F19+F20</f>
        <v>1</v>
      </c>
      <c r="E60" s="29" t="s">
        <v>508</v>
      </c>
    </row>
    <row r="61" spans="1:5" s="1134" customFormat="1" ht="13.5">
      <c r="A61" s="1139"/>
      <c r="B61" s="37"/>
      <c r="C61" s="37">
        <v>280</v>
      </c>
      <c r="D61" s="28" t="b">
        <f>G18=G19+G20</f>
        <v>1</v>
      </c>
      <c r="E61" s="29" t="s">
        <v>509</v>
      </c>
    </row>
    <row r="62" spans="1:5" s="1134" customFormat="1" ht="13.5">
      <c r="A62" s="1139"/>
      <c r="B62" s="37"/>
      <c r="C62" s="37">
        <v>290</v>
      </c>
      <c r="D62" s="28" t="b">
        <f>H18=H19+H20</f>
        <v>1</v>
      </c>
      <c r="E62" s="29" t="s">
        <v>510</v>
      </c>
    </row>
    <row r="63" spans="1:5" s="1134" customFormat="1" ht="13.5">
      <c r="A63" s="1139"/>
      <c r="B63" s="37"/>
      <c r="C63" s="37">
        <v>300</v>
      </c>
      <c r="D63" s="28" t="b">
        <f>I18=I19+I20</f>
        <v>1</v>
      </c>
      <c r="E63" s="29" t="s">
        <v>511</v>
      </c>
    </row>
    <row r="64" spans="1:5" s="1134" customFormat="1" ht="13.5">
      <c r="A64" s="1139"/>
      <c r="B64" s="37"/>
      <c r="C64" s="37">
        <v>310</v>
      </c>
      <c r="D64" s="28" t="b">
        <f>J18=J19+J20</f>
        <v>1</v>
      </c>
      <c r="E64" s="29" t="s">
        <v>512</v>
      </c>
    </row>
    <row r="65" spans="1:5" s="1134" customFormat="1" ht="13.5">
      <c r="A65" s="1139"/>
      <c r="B65" s="37"/>
      <c r="C65" s="37">
        <v>320</v>
      </c>
      <c r="D65" s="28" t="b">
        <f>K18=K19+K20</f>
        <v>1</v>
      </c>
      <c r="E65" s="29" t="s">
        <v>513</v>
      </c>
    </row>
    <row r="66" spans="1:5" s="1134" customFormat="1" ht="13.5">
      <c r="A66" s="1139"/>
      <c r="B66" s="37"/>
      <c r="C66" s="37">
        <v>330</v>
      </c>
      <c r="D66" s="28" t="b">
        <f>D21=SUM(D22:D24)</f>
        <v>1</v>
      </c>
      <c r="E66" s="29" t="s">
        <v>514</v>
      </c>
    </row>
    <row r="67" spans="1:5" s="1134" customFormat="1" ht="13.5">
      <c r="A67" s="1139"/>
      <c r="B67" s="37"/>
      <c r="C67" s="37">
        <v>340</v>
      </c>
      <c r="D67" s="28" t="b">
        <f>E21=SUM(E22:E24)</f>
        <v>1</v>
      </c>
      <c r="E67" s="29" t="s">
        <v>515</v>
      </c>
    </row>
    <row r="68" spans="1:5" s="1134" customFormat="1" ht="13.5">
      <c r="A68" s="1139"/>
      <c r="B68" s="37"/>
      <c r="C68" s="37">
        <v>350</v>
      </c>
      <c r="D68" s="28" t="b">
        <f>F21=SUM(F22:F24)</f>
        <v>1</v>
      </c>
      <c r="E68" s="29" t="s">
        <v>516</v>
      </c>
    </row>
    <row r="69" spans="1:5" s="1134" customFormat="1" ht="13.5">
      <c r="A69" s="1139"/>
      <c r="B69" s="37"/>
      <c r="C69" s="37">
        <v>360</v>
      </c>
      <c r="D69" s="28" t="b">
        <f>G21=SUM(G22:G24)</f>
        <v>1</v>
      </c>
      <c r="E69" s="29" t="s">
        <v>517</v>
      </c>
    </row>
    <row r="70" spans="1:5" s="1134" customFormat="1" ht="13.5">
      <c r="A70" s="1139"/>
      <c r="B70" s="37"/>
      <c r="C70" s="37">
        <v>370</v>
      </c>
      <c r="D70" s="28" t="b">
        <f>H21=SUM(H22:H24)</f>
        <v>1</v>
      </c>
      <c r="E70" s="29" t="s">
        <v>518</v>
      </c>
    </row>
    <row r="71" spans="1:5" s="1134" customFormat="1" ht="13.5">
      <c r="A71" s="1139"/>
      <c r="B71" s="37"/>
      <c r="C71" s="37">
        <v>380</v>
      </c>
      <c r="D71" s="28" t="b">
        <f>I21=SUM(I22:I24)</f>
        <v>1</v>
      </c>
      <c r="E71" s="29" t="s">
        <v>519</v>
      </c>
    </row>
    <row r="72" spans="1:5" s="1134" customFormat="1" ht="13.5">
      <c r="A72" s="1139"/>
      <c r="B72" s="37"/>
      <c r="C72" s="37">
        <v>390</v>
      </c>
      <c r="D72" s="28" t="b">
        <f>J21=SUM(J22:J24)</f>
        <v>1</v>
      </c>
      <c r="E72" s="29" t="s">
        <v>1953</v>
      </c>
    </row>
    <row r="73" spans="1:5" s="1134" customFormat="1" ht="13.5">
      <c r="A73" s="1139"/>
      <c r="B73" s="37"/>
      <c r="C73" s="37">
        <v>400</v>
      </c>
      <c r="D73" s="28" t="b">
        <f>K21=SUM(K22:K24)</f>
        <v>1</v>
      </c>
      <c r="E73" s="29" t="s">
        <v>1954</v>
      </c>
    </row>
    <row r="74" spans="1:5" s="1134" customFormat="1" ht="13.5">
      <c r="A74" s="1139"/>
      <c r="B74" s="37"/>
      <c r="C74" s="37">
        <v>410</v>
      </c>
      <c r="D74" s="28" t="b">
        <f>D24=D25+D26</f>
        <v>1</v>
      </c>
      <c r="E74" s="29" t="s">
        <v>1955</v>
      </c>
    </row>
    <row r="75" spans="1:5" s="1134" customFormat="1" ht="13.5">
      <c r="A75" s="1139"/>
      <c r="B75" s="37"/>
      <c r="C75" s="37">
        <v>420</v>
      </c>
      <c r="D75" s="28" t="b">
        <f>E24=E25+E26</f>
        <v>1</v>
      </c>
      <c r="E75" s="29" t="s">
        <v>1956</v>
      </c>
    </row>
    <row r="76" spans="1:5" s="1134" customFormat="1" ht="13.5">
      <c r="A76" s="1139"/>
      <c r="B76" s="37"/>
      <c r="C76" s="37">
        <v>430</v>
      </c>
      <c r="D76" s="28" t="b">
        <f>F24=F25+F26</f>
        <v>1</v>
      </c>
      <c r="E76" s="29" t="s">
        <v>1957</v>
      </c>
    </row>
    <row r="77" spans="1:5" s="1134" customFormat="1" ht="13.5">
      <c r="A77" s="1139"/>
      <c r="B77" s="37"/>
      <c r="C77" s="37">
        <v>440</v>
      </c>
      <c r="D77" s="28" t="b">
        <f>G24=G25+G26</f>
        <v>1</v>
      </c>
      <c r="E77" s="29" t="s">
        <v>1958</v>
      </c>
    </row>
    <row r="78" spans="1:5" s="1134" customFormat="1" ht="13.5">
      <c r="A78" s="1139"/>
      <c r="B78" s="37"/>
      <c r="C78" s="37">
        <v>450</v>
      </c>
      <c r="D78" s="28" t="b">
        <f>H24=H25+H26</f>
        <v>1</v>
      </c>
      <c r="E78" s="29" t="s">
        <v>1959</v>
      </c>
    </row>
    <row r="79" spans="1:5" s="1134" customFormat="1" ht="13.5">
      <c r="A79" s="1139"/>
      <c r="B79" s="37"/>
      <c r="C79" s="37">
        <v>460</v>
      </c>
      <c r="D79" s="28" t="b">
        <f>I24=I25+I26</f>
        <v>1</v>
      </c>
      <c r="E79" s="29" t="s">
        <v>1960</v>
      </c>
    </row>
    <row r="80" spans="1:5" s="1134" customFormat="1" ht="13.5">
      <c r="A80" s="1139"/>
      <c r="B80" s="37"/>
      <c r="C80" s="37">
        <v>470</v>
      </c>
      <c r="D80" s="28" t="b">
        <f>J24=J25+J26</f>
        <v>1</v>
      </c>
      <c r="E80" s="29" t="s">
        <v>1961</v>
      </c>
    </row>
    <row r="81" spans="1:5" s="1134" customFormat="1" ht="12.75" customHeight="1">
      <c r="A81" s="1139"/>
      <c r="B81" s="37"/>
      <c r="C81" s="37">
        <v>480</v>
      </c>
      <c r="D81" s="28" t="b">
        <f>K24=K25+K26</f>
        <v>1</v>
      </c>
      <c r="E81" s="29" t="s">
        <v>1962</v>
      </c>
    </row>
    <row r="82" spans="1:5" s="1134" customFormat="1" ht="13.5">
      <c r="A82" s="1139"/>
      <c r="B82" s="37"/>
      <c r="C82" s="37">
        <v>490</v>
      </c>
      <c r="D82" s="28" t="b">
        <f>D28=D18+D21+D27</f>
        <v>1</v>
      </c>
      <c r="E82" s="29" t="s">
        <v>1963</v>
      </c>
    </row>
    <row r="83" spans="1:5" s="1134" customFormat="1" ht="13.5">
      <c r="A83" s="1139"/>
      <c r="B83" s="37"/>
      <c r="C83" s="37">
        <v>500</v>
      </c>
      <c r="D83" s="28" t="b">
        <f>E28=E18+E21+E27</f>
        <v>1</v>
      </c>
      <c r="E83" s="29" t="s">
        <v>1979</v>
      </c>
    </row>
    <row r="84" spans="1:5" s="1134" customFormat="1" ht="13.5">
      <c r="A84" s="1139"/>
      <c r="B84" s="37"/>
      <c r="C84" s="37">
        <v>510</v>
      </c>
      <c r="D84" s="28" t="b">
        <f>F28=F18+F21+F27</f>
        <v>1</v>
      </c>
      <c r="E84" s="29" t="s">
        <v>1980</v>
      </c>
    </row>
    <row r="85" spans="1:5" s="1134" customFormat="1" ht="13.5">
      <c r="A85" s="1139"/>
      <c r="B85" s="37"/>
      <c r="C85" s="37">
        <v>520</v>
      </c>
      <c r="D85" s="28" t="b">
        <f>G28=G18+G21+G27</f>
        <v>1</v>
      </c>
      <c r="E85" s="29" t="s">
        <v>1981</v>
      </c>
    </row>
    <row r="86" spans="1:5" s="1134" customFormat="1" ht="13.5">
      <c r="A86" s="1139"/>
      <c r="B86" s="37"/>
      <c r="C86" s="37">
        <v>530</v>
      </c>
      <c r="D86" s="28" t="b">
        <f>H28=H18+H21+H27</f>
        <v>1</v>
      </c>
      <c r="E86" s="29" t="s">
        <v>1982</v>
      </c>
    </row>
    <row r="87" spans="1:5" s="1134" customFormat="1" ht="13.5">
      <c r="A87" s="1139"/>
      <c r="B87" s="37"/>
      <c r="C87" s="37">
        <v>540</v>
      </c>
      <c r="D87" s="28" t="b">
        <f>I28=I18+I21+I27</f>
        <v>1</v>
      </c>
      <c r="E87" s="29" t="s">
        <v>1983</v>
      </c>
    </row>
    <row r="88" spans="1:5" s="1134" customFormat="1" ht="13.5">
      <c r="A88" s="1139"/>
      <c r="B88" s="37"/>
      <c r="C88" s="37">
        <v>550</v>
      </c>
      <c r="D88" s="28" t="b">
        <f>J28=J18+J21+J27</f>
        <v>1</v>
      </c>
      <c r="E88" s="29" t="s">
        <v>1984</v>
      </c>
    </row>
    <row r="89" spans="1:5" s="1134" customFormat="1" ht="13.5">
      <c r="A89" s="1139"/>
      <c r="B89" s="37"/>
      <c r="C89" s="37">
        <v>560</v>
      </c>
      <c r="D89" s="28" t="b">
        <f>K28=K18+K21+K27</f>
        <v>1</v>
      </c>
      <c r="E89" s="29" t="s">
        <v>1985</v>
      </c>
    </row>
    <row r="90" spans="1:5" s="1134" customFormat="1" ht="13.5">
      <c r="A90" s="1139"/>
      <c r="B90" s="37"/>
      <c r="C90" s="37">
        <v>570</v>
      </c>
      <c r="D90" s="28" t="b">
        <f>K5=SUM(D5:J5)</f>
        <v>1</v>
      </c>
      <c r="E90" s="29" t="s">
        <v>1986</v>
      </c>
    </row>
    <row r="91" spans="1:5" s="1134" customFormat="1" ht="13.5">
      <c r="A91" s="1139"/>
      <c r="B91" s="37"/>
      <c r="C91" s="37">
        <v>580</v>
      </c>
      <c r="D91" s="28" t="b">
        <f t="shared" ref="D91:D101" si="9">K6=SUM(D6:J6)</f>
        <v>1</v>
      </c>
      <c r="E91" s="29" t="s">
        <v>1987</v>
      </c>
    </row>
    <row r="92" spans="1:5" s="1134" customFormat="1" ht="13.5">
      <c r="A92" s="1139"/>
      <c r="B92" s="37"/>
      <c r="C92" s="37">
        <v>590</v>
      </c>
      <c r="D92" s="28" t="b">
        <f t="shared" si="9"/>
        <v>1</v>
      </c>
      <c r="E92" s="29" t="s">
        <v>1988</v>
      </c>
    </row>
    <row r="93" spans="1:5" s="1134" customFormat="1" ht="13.5">
      <c r="A93" s="1139"/>
      <c r="B93" s="37"/>
      <c r="C93" s="37">
        <v>600</v>
      </c>
      <c r="D93" s="28" t="b">
        <f t="shared" si="9"/>
        <v>1</v>
      </c>
      <c r="E93" s="29" t="s">
        <v>1989</v>
      </c>
    </row>
    <row r="94" spans="1:5" s="1134" customFormat="1" ht="13.5">
      <c r="A94" s="1139"/>
      <c r="B94" s="37"/>
      <c r="C94" s="37">
        <v>610</v>
      </c>
      <c r="D94" s="28" t="b">
        <f t="shared" si="9"/>
        <v>1</v>
      </c>
      <c r="E94" s="29" t="s">
        <v>1990</v>
      </c>
    </row>
    <row r="95" spans="1:5" s="1134" customFormat="1" ht="13.5">
      <c r="A95" s="1139"/>
      <c r="B95" s="37"/>
      <c r="C95" s="37">
        <v>620</v>
      </c>
      <c r="D95" s="28" t="b">
        <f t="shared" si="9"/>
        <v>1</v>
      </c>
      <c r="E95" s="29" t="s">
        <v>1991</v>
      </c>
    </row>
    <row r="96" spans="1:5" s="1134" customFormat="1" ht="13.5">
      <c r="A96" s="1139"/>
      <c r="B96" s="37"/>
      <c r="C96" s="37">
        <v>630</v>
      </c>
      <c r="D96" s="28" t="b">
        <f t="shared" si="9"/>
        <v>1</v>
      </c>
      <c r="E96" s="29" t="s">
        <v>2686</v>
      </c>
    </row>
    <row r="97" spans="1:5" s="1134" customFormat="1" ht="13.5">
      <c r="A97" s="1139"/>
      <c r="B97" s="37"/>
      <c r="C97" s="37">
        <v>640</v>
      </c>
      <c r="D97" s="28" t="b">
        <f t="shared" si="9"/>
        <v>1</v>
      </c>
      <c r="E97" s="29" t="s">
        <v>2687</v>
      </c>
    </row>
    <row r="98" spans="1:5" s="1134" customFormat="1" ht="13.5">
      <c r="A98" s="1139"/>
      <c r="B98" s="37"/>
      <c r="C98" s="37">
        <v>650</v>
      </c>
      <c r="D98" s="28" t="b">
        <f t="shared" si="9"/>
        <v>1</v>
      </c>
      <c r="E98" s="29" t="s">
        <v>2688</v>
      </c>
    </row>
    <row r="99" spans="1:5" s="1134" customFormat="1" ht="13.5">
      <c r="A99" s="1139"/>
      <c r="B99" s="37"/>
      <c r="C99" s="37">
        <v>660</v>
      </c>
      <c r="D99" s="28" t="b">
        <f t="shared" si="9"/>
        <v>1</v>
      </c>
      <c r="E99" s="29" t="s">
        <v>2689</v>
      </c>
    </row>
    <row r="100" spans="1:5" s="1134" customFormat="1" ht="13.5">
      <c r="A100" s="1139"/>
      <c r="B100" s="37"/>
      <c r="C100" s="37">
        <v>670</v>
      </c>
      <c r="D100" s="28" t="b">
        <f t="shared" si="9"/>
        <v>1</v>
      </c>
      <c r="E100" s="29" t="s">
        <v>2690</v>
      </c>
    </row>
    <row r="101" spans="1:5" s="1134" customFormat="1" ht="13.5">
      <c r="A101" s="1139"/>
      <c r="B101" s="37"/>
      <c r="C101" s="37">
        <v>680</v>
      </c>
      <c r="D101" s="28" t="b">
        <f t="shared" si="9"/>
        <v>1</v>
      </c>
      <c r="E101" s="29" t="s">
        <v>2691</v>
      </c>
    </row>
    <row r="102" spans="1:5" s="1134" customFormat="1" ht="13.5">
      <c r="A102" s="1139"/>
      <c r="B102" s="37"/>
      <c r="C102" s="37">
        <v>690</v>
      </c>
      <c r="D102" s="28" t="b">
        <f>K18=SUM(D18:J18)</f>
        <v>1</v>
      </c>
      <c r="E102" s="29" t="s">
        <v>2692</v>
      </c>
    </row>
    <row r="103" spans="1:5" s="1134" customFormat="1" ht="13.5">
      <c r="A103" s="1139"/>
      <c r="B103" s="37"/>
      <c r="C103" s="37">
        <v>700</v>
      </c>
      <c r="D103" s="28" t="b">
        <f t="shared" ref="D103:D111" si="10">K19=SUM(D19:J19)</f>
        <v>1</v>
      </c>
      <c r="E103" s="29" t="s">
        <v>2693</v>
      </c>
    </row>
    <row r="104" spans="1:5" s="1134" customFormat="1" ht="13.5">
      <c r="A104" s="1139"/>
      <c r="B104" s="37"/>
      <c r="C104" s="37">
        <v>710</v>
      </c>
      <c r="D104" s="28" t="b">
        <f t="shared" si="10"/>
        <v>1</v>
      </c>
      <c r="E104" s="29" t="s">
        <v>2694</v>
      </c>
    </row>
    <row r="105" spans="1:5" s="1134" customFormat="1" ht="13.5">
      <c r="A105" s="1139"/>
      <c r="B105" s="37"/>
      <c r="C105" s="37">
        <v>720</v>
      </c>
      <c r="D105" s="28" t="b">
        <f t="shared" si="10"/>
        <v>1</v>
      </c>
      <c r="E105" s="29" t="s">
        <v>2695</v>
      </c>
    </row>
    <row r="106" spans="1:5" s="1134" customFormat="1" ht="13.5">
      <c r="A106" s="1139"/>
      <c r="B106" s="37"/>
      <c r="C106" s="37">
        <v>730</v>
      </c>
      <c r="D106" s="28" t="b">
        <f t="shared" si="10"/>
        <v>1</v>
      </c>
      <c r="E106" s="29" t="s">
        <v>2696</v>
      </c>
    </row>
    <row r="107" spans="1:5" s="1134" customFormat="1" ht="13.5">
      <c r="A107" s="1139"/>
      <c r="B107" s="37"/>
      <c r="C107" s="37">
        <v>740</v>
      </c>
      <c r="D107" s="28" t="b">
        <f t="shared" si="10"/>
        <v>1</v>
      </c>
      <c r="E107" s="29" t="s">
        <v>2697</v>
      </c>
    </row>
    <row r="108" spans="1:5" s="1134" customFormat="1" ht="13.5">
      <c r="A108" s="1139"/>
      <c r="B108" s="37"/>
      <c r="C108" s="37">
        <v>750</v>
      </c>
      <c r="D108" s="28" t="b">
        <f t="shared" si="10"/>
        <v>1</v>
      </c>
      <c r="E108" s="29" t="s">
        <v>2698</v>
      </c>
    </row>
    <row r="109" spans="1:5" s="1134" customFormat="1" ht="13.5">
      <c r="A109" s="1139"/>
      <c r="B109" s="37"/>
      <c r="C109" s="37">
        <v>760</v>
      </c>
      <c r="D109" s="28" t="b">
        <f t="shared" si="10"/>
        <v>1</v>
      </c>
      <c r="E109" s="29" t="s">
        <v>2699</v>
      </c>
    </row>
    <row r="110" spans="1:5" s="1134" customFormat="1" ht="13.5">
      <c r="A110" s="1139"/>
      <c r="B110" s="37"/>
      <c r="C110" s="37">
        <v>770</v>
      </c>
      <c r="D110" s="28" t="b">
        <f t="shared" si="10"/>
        <v>1</v>
      </c>
      <c r="E110" s="29" t="s">
        <v>2700</v>
      </c>
    </row>
    <row r="111" spans="1:5" s="1134" customFormat="1" ht="13.5">
      <c r="A111" s="1139"/>
      <c r="B111" s="37"/>
      <c r="C111" s="37">
        <v>780</v>
      </c>
      <c r="D111" s="28" t="b">
        <f t="shared" si="10"/>
        <v>1</v>
      </c>
      <c r="E111" s="29" t="s">
        <v>2701</v>
      </c>
    </row>
    <row r="112" spans="1:5" s="1134" customFormat="1" ht="13.5">
      <c r="A112" s="1139"/>
      <c r="B112" s="37"/>
      <c r="C112" s="37">
        <v>790</v>
      </c>
      <c r="D112" s="28" t="b">
        <f>K28=SUM(D28:J28)</f>
        <v>1</v>
      </c>
      <c r="E112" s="29" t="s">
        <v>2702</v>
      </c>
    </row>
    <row r="113" spans="1:5" s="1134" customFormat="1" ht="13.5">
      <c r="A113" s="1139"/>
      <c r="B113" s="37"/>
      <c r="C113" s="37">
        <v>800</v>
      </c>
      <c r="D113" s="28" t="b">
        <f>K29=SUM(D29:J29)</f>
        <v>1</v>
      </c>
      <c r="E113" s="29" t="s">
        <v>2703</v>
      </c>
    </row>
    <row r="114" spans="1:5" s="1134" customFormat="1" ht="13.5">
      <c r="A114" s="1139"/>
      <c r="B114" s="37"/>
      <c r="C114" s="37">
        <v>810</v>
      </c>
      <c r="D114" s="28" t="b">
        <f>K30=SUM(D30:J30)</f>
        <v>1</v>
      </c>
      <c r="E114" s="29" t="s">
        <v>2704</v>
      </c>
    </row>
    <row r="115" spans="1:5" s="1134" customFormat="1" ht="13.5">
      <c r="A115" s="1139"/>
      <c r="B115" s="37"/>
      <c r="C115" s="37">
        <v>820</v>
      </c>
      <c r="D115" s="28" t="b">
        <f>K31=SUM(D31:J31)</f>
        <v>1</v>
      </c>
      <c r="E115" s="29" t="s">
        <v>2705</v>
      </c>
    </row>
    <row r="116" spans="1:5" s="12" customFormat="1" ht="13.5">
      <c r="A116" s="41"/>
      <c r="B116" s="45"/>
      <c r="C116" s="37"/>
      <c r="D116" s="28"/>
      <c r="E116" s="29"/>
    </row>
    <row r="117" spans="1:5" s="12" customFormat="1" ht="13.5">
      <c r="A117" s="41"/>
      <c r="B117" s="45"/>
      <c r="C117" s="37"/>
      <c r="D117" s="28"/>
      <c r="E117" s="29"/>
    </row>
    <row r="118" spans="1:5" s="12" customFormat="1" ht="13.5">
      <c r="A118" s="41"/>
      <c r="B118" s="45"/>
      <c r="C118" s="37"/>
      <c r="D118" s="28"/>
      <c r="E118" s="29"/>
    </row>
  </sheetData>
  <customSheetViews>
    <customSheetView guid="{5D819D0C-25F7-408A-B978-F4F86F7655CA}" showPageBreaks="1" showRuler="0" topLeftCell="A1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orientation="portrait" r:id="rId4"/>
  <headerFooter alignWithMargins="0">
    <oddHeader>&amp;C41.A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Normal="100" zoomScaleSheetLayoutView="100" workbookViewId="0"/>
  </sheetViews>
  <sheetFormatPr defaultRowHeight="12.75"/>
  <cols>
    <col min="1" max="1" width="27.42578125" customWidth="1"/>
    <col min="4" max="4" width="14" customWidth="1"/>
    <col min="12" max="12" width="14.7109375" customWidth="1"/>
  </cols>
  <sheetData>
    <row r="1" spans="1:11" s="5" customFormat="1" ht="16.5" thickBot="1">
      <c r="A1" s="477" t="s">
        <v>2422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14" customHeight="1" thickBot="1">
      <c r="A2" s="277" t="s">
        <v>462</v>
      </c>
      <c r="B2" s="271" t="s">
        <v>137</v>
      </c>
      <c r="C2" s="668"/>
      <c r="D2" s="271" t="s">
        <v>2287</v>
      </c>
      <c r="E2" s="271" t="s">
        <v>2288</v>
      </c>
      <c r="F2" s="271" t="s">
        <v>2289</v>
      </c>
      <c r="G2" s="271" t="s">
        <v>2290</v>
      </c>
      <c r="H2" s="271" t="s">
        <v>2291</v>
      </c>
      <c r="I2" s="271" t="s">
        <v>2292</v>
      </c>
      <c r="J2" s="271" t="s">
        <v>2293</v>
      </c>
      <c r="K2" s="271" t="s">
        <v>1852</v>
      </c>
    </row>
    <row r="3" spans="1:11" ht="15.75" thickBot="1">
      <c r="A3" s="381" t="s">
        <v>2266</v>
      </c>
      <c r="B3" s="282" t="s">
        <v>2267</v>
      </c>
      <c r="C3" s="669"/>
      <c r="D3" s="669" t="s">
        <v>2295</v>
      </c>
      <c r="E3" s="675" t="s">
        <v>2296</v>
      </c>
      <c r="F3" s="675" t="s">
        <v>2426</v>
      </c>
      <c r="G3" s="246" t="s">
        <v>2427</v>
      </c>
      <c r="H3" s="282" t="s">
        <v>2428</v>
      </c>
      <c r="I3" s="282" t="s">
        <v>2429</v>
      </c>
      <c r="J3" s="282" t="s">
        <v>2430</v>
      </c>
      <c r="K3" s="282" t="s">
        <v>740</v>
      </c>
    </row>
    <row r="4" spans="1:11" ht="15.75" thickBot="1">
      <c r="A4" s="624"/>
      <c r="B4" s="341"/>
      <c r="C4" s="414" t="s">
        <v>1135</v>
      </c>
      <c r="D4" s="371" t="s">
        <v>1013</v>
      </c>
      <c r="E4" s="676" t="s">
        <v>1014</v>
      </c>
      <c r="F4" s="371" t="s">
        <v>1015</v>
      </c>
      <c r="G4" s="283" t="s">
        <v>1016</v>
      </c>
      <c r="H4" s="283" t="s">
        <v>525</v>
      </c>
      <c r="I4" s="283" t="s">
        <v>526</v>
      </c>
      <c r="J4" s="283" t="s">
        <v>1415</v>
      </c>
      <c r="K4" s="283" t="s">
        <v>1118</v>
      </c>
    </row>
    <row r="5" spans="1:11" ht="15.75" thickBot="1">
      <c r="A5" s="365" t="s">
        <v>2268</v>
      </c>
      <c r="B5" s="256" t="s">
        <v>2267</v>
      </c>
      <c r="C5" s="677"/>
      <c r="D5" s="421"/>
      <c r="E5" s="678"/>
      <c r="F5" s="678"/>
      <c r="G5" s="678"/>
      <c r="H5" s="679"/>
      <c r="I5" s="679"/>
      <c r="J5" s="678"/>
      <c r="K5" s="678"/>
    </row>
    <row r="6" spans="1:11" ht="15.75" thickBot="1">
      <c r="A6" s="543" t="s">
        <v>2608</v>
      </c>
      <c r="B6" s="256" t="s">
        <v>2267</v>
      </c>
      <c r="C6" s="680">
        <v>7440</v>
      </c>
      <c r="D6" s="1027">
        <v>10</v>
      </c>
      <c r="E6" s="1027">
        <v>10</v>
      </c>
      <c r="F6" s="1027">
        <v>10</v>
      </c>
      <c r="G6" s="1027">
        <v>10</v>
      </c>
      <c r="H6" s="1027">
        <v>10</v>
      </c>
      <c r="I6" s="1027">
        <v>10</v>
      </c>
      <c r="J6" s="1027">
        <v>10</v>
      </c>
      <c r="K6" s="1026">
        <f t="shared" ref="K6:K14" si="0">SUM(D6:J6)</f>
        <v>70</v>
      </c>
    </row>
    <row r="7" spans="1:11" ht="15.75" thickBot="1">
      <c r="A7" s="543" t="s">
        <v>2609</v>
      </c>
      <c r="B7" s="256" t="s">
        <v>2267</v>
      </c>
      <c r="C7" s="680">
        <v>7450</v>
      </c>
      <c r="D7" s="1027">
        <v>10</v>
      </c>
      <c r="E7" s="1027">
        <v>10</v>
      </c>
      <c r="F7" s="1027">
        <v>10</v>
      </c>
      <c r="G7" s="1027">
        <v>10</v>
      </c>
      <c r="H7" s="1027">
        <v>10</v>
      </c>
      <c r="I7" s="1027">
        <v>10</v>
      </c>
      <c r="J7" s="1027">
        <v>10</v>
      </c>
      <c r="K7" s="1026">
        <f t="shared" si="0"/>
        <v>70</v>
      </c>
    </row>
    <row r="8" spans="1:11" ht="15.75" thickBot="1">
      <c r="A8" s="543" t="s">
        <v>2610</v>
      </c>
      <c r="B8" s="256" t="s">
        <v>2267</v>
      </c>
      <c r="C8" s="680">
        <v>7460</v>
      </c>
      <c r="D8" s="1027">
        <v>10</v>
      </c>
      <c r="E8" s="1027">
        <v>10</v>
      </c>
      <c r="F8" s="1027">
        <v>10</v>
      </c>
      <c r="G8" s="1027">
        <v>10</v>
      </c>
      <c r="H8" s="1027">
        <v>10</v>
      </c>
      <c r="I8" s="1027">
        <v>10</v>
      </c>
      <c r="J8" s="1027">
        <v>10</v>
      </c>
      <c r="K8" s="1026">
        <f t="shared" si="0"/>
        <v>70</v>
      </c>
    </row>
    <row r="9" spans="1:11" ht="15.75" thickBot="1">
      <c r="A9" s="543" t="s">
        <v>2611</v>
      </c>
      <c r="B9" s="256" t="s">
        <v>2267</v>
      </c>
      <c r="C9" s="680">
        <v>7470</v>
      </c>
      <c r="D9" s="1027">
        <v>10</v>
      </c>
      <c r="E9" s="1027">
        <v>10</v>
      </c>
      <c r="F9" s="1027">
        <v>10</v>
      </c>
      <c r="G9" s="1027">
        <v>10</v>
      </c>
      <c r="H9" s="1027">
        <v>10</v>
      </c>
      <c r="I9" s="1027">
        <v>10</v>
      </c>
      <c r="J9" s="1027">
        <v>10</v>
      </c>
      <c r="K9" s="1026">
        <f t="shared" si="0"/>
        <v>70</v>
      </c>
    </row>
    <row r="10" spans="1:11" ht="30.75" thickBot="1">
      <c r="A10" s="543" t="s">
        <v>2612</v>
      </c>
      <c r="B10" s="256" t="s">
        <v>2613</v>
      </c>
      <c r="C10" s="680">
        <v>7480</v>
      </c>
      <c r="D10" s="1027">
        <v>10</v>
      </c>
      <c r="E10" s="1027">
        <v>10</v>
      </c>
      <c r="F10" s="1027">
        <v>10</v>
      </c>
      <c r="G10" s="1027">
        <v>10</v>
      </c>
      <c r="H10" s="1027">
        <v>10</v>
      </c>
      <c r="I10" s="1027">
        <v>10</v>
      </c>
      <c r="J10" s="1027">
        <v>10</v>
      </c>
      <c r="K10" s="1026">
        <f t="shared" si="0"/>
        <v>70</v>
      </c>
    </row>
    <row r="11" spans="1:11" ht="30.75" thickBot="1">
      <c r="A11" s="543" t="s">
        <v>2614</v>
      </c>
      <c r="B11" s="256" t="s">
        <v>2615</v>
      </c>
      <c r="C11" s="680">
        <v>7490</v>
      </c>
      <c r="D11" s="1027">
        <v>10</v>
      </c>
      <c r="E11" s="1027">
        <v>10</v>
      </c>
      <c r="F11" s="1027">
        <v>10</v>
      </c>
      <c r="G11" s="1027">
        <v>10</v>
      </c>
      <c r="H11" s="1027">
        <v>10</v>
      </c>
      <c r="I11" s="1027">
        <v>10</v>
      </c>
      <c r="J11" s="1027">
        <v>10</v>
      </c>
      <c r="K11" s="1026">
        <f t="shared" si="0"/>
        <v>70</v>
      </c>
    </row>
    <row r="12" spans="1:11" ht="30.75" thickBot="1">
      <c r="A12" s="251" t="s">
        <v>2616</v>
      </c>
      <c r="B12" s="256" t="s">
        <v>2613</v>
      </c>
      <c r="C12" s="680">
        <v>7500</v>
      </c>
      <c r="D12" s="1027">
        <v>10</v>
      </c>
      <c r="E12" s="1027">
        <v>10</v>
      </c>
      <c r="F12" s="1027">
        <v>10</v>
      </c>
      <c r="G12" s="1027">
        <v>10</v>
      </c>
      <c r="H12" s="1027">
        <v>10</v>
      </c>
      <c r="I12" s="1027">
        <v>10</v>
      </c>
      <c r="J12" s="1027">
        <v>10</v>
      </c>
      <c r="K12" s="1026">
        <f t="shared" si="0"/>
        <v>70</v>
      </c>
    </row>
    <row r="13" spans="1:11" ht="15.75" thickBot="1">
      <c r="A13" s="543" t="s">
        <v>1591</v>
      </c>
      <c r="B13" s="256" t="s">
        <v>2267</v>
      </c>
      <c r="C13" s="681">
        <v>7510</v>
      </c>
      <c r="D13" s="1027">
        <v>10</v>
      </c>
      <c r="E13" s="1027">
        <v>10</v>
      </c>
      <c r="F13" s="1027">
        <v>10</v>
      </c>
      <c r="G13" s="1027">
        <v>10</v>
      </c>
      <c r="H13" s="1027">
        <v>10</v>
      </c>
      <c r="I13" s="1027">
        <v>10</v>
      </c>
      <c r="J13" s="1027">
        <v>10</v>
      </c>
      <c r="K13" s="1026">
        <f t="shared" si="0"/>
        <v>70</v>
      </c>
    </row>
    <row r="14" spans="1:11" ht="15.75" thickBot="1">
      <c r="A14" s="660" t="s">
        <v>2423</v>
      </c>
      <c r="B14" s="256" t="s">
        <v>2267</v>
      </c>
      <c r="C14" s="682">
        <v>7599</v>
      </c>
      <c r="D14" s="1026">
        <f t="shared" ref="D14:J14" si="1">SUM(D6:D13)</f>
        <v>80</v>
      </c>
      <c r="E14" s="1026">
        <f t="shared" si="1"/>
        <v>80</v>
      </c>
      <c r="F14" s="1026">
        <f t="shared" si="1"/>
        <v>80</v>
      </c>
      <c r="G14" s="1026">
        <f t="shared" si="1"/>
        <v>80</v>
      </c>
      <c r="H14" s="1026">
        <f t="shared" si="1"/>
        <v>80</v>
      </c>
      <c r="I14" s="1026">
        <f t="shared" si="1"/>
        <v>80</v>
      </c>
      <c r="J14" s="1026">
        <f t="shared" si="1"/>
        <v>80</v>
      </c>
      <c r="K14" s="1026">
        <f t="shared" si="0"/>
        <v>560</v>
      </c>
    </row>
    <row r="15" spans="1:11" ht="15.75" thickBot="1">
      <c r="A15" s="365" t="s">
        <v>1698</v>
      </c>
      <c r="B15" s="256" t="s">
        <v>2267</v>
      </c>
      <c r="C15" s="677"/>
      <c r="D15" s="1032"/>
      <c r="E15" s="1033"/>
      <c r="F15" s="1033"/>
      <c r="G15" s="1033"/>
      <c r="H15" s="1034"/>
      <c r="I15" s="1034"/>
      <c r="J15" s="1033"/>
      <c r="K15" s="1033"/>
    </row>
    <row r="16" spans="1:11" ht="15.75" thickBot="1">
      <c r="A16" s="543" t="s">
        <v>1699</v>
      </c>
      <c r="B16" s="256" t="s">
        <v>2267</v>
      </c>
      <c r="C16" s="680">
        <v>7610</v>
      </c>
      <c r="D16" s="1027">
        <v>10</v>
      </c>
      <c r="E16" s="1027">
        <v>10</v>
      </c>
      <c r="F16" s="1027">
        <v>10</v>
      </c>
      <c r="G16" s="1027">
        <v>10</v>
      </c>
      <c r="H16" s="1027">
        <v>10</v>
      </c>
      <c r="I16" s="1027">
        <v>10</v>
      </c>
      <c r="J16" s="1027">
        <v>10</v>
      </c>
      <c r="K16" s="1026">
        <f t="shared" ref="K16:K25" si="2">SUM(D16:J16)</f>
        <v>70</v>
      </c>
    </row>
    <row r="17" spans="1:16" ht="15.75" thickBot="1">
      <c r="A17" s="543" t="s">
        <v>1700</v>
      </c>
      <c r="B17" s="256" t="s">
        <v>2267</v>
      </c>
      <c r="C17" s="680">
        <v>7620</v>
      </c>
      <c r="D17" s="1027">
        <v>10</v>
      </c>
      <c r="E17" s="1027">
        <v>10</v>
      </c>
      <c r="F17" s="1027">
        <v>10</v>
      </c>
      <c r="G17" s="1027">
        <v>10</v>
      </c>
      <c r="H17" s="1027">
        <v>10</v>
      </c>
      <c r="I17" s="1027">
        <v>10</v>
      </c>
      <c r="J17" s="1027">
        <v>10</v>
      </c>
      <c r="K17" s="1026">
        <f t="shared" si="2"/>
        <v>70</v>
      </c>
    </row>
    <row r="18" spans="1:16" ht="15.75" thickBot="1">
      <c r="A18" s="543" t="s">
        <v>2610</v>
      </c>
      <c r="B18" s="256" t="s">
        <v>2267</v>
      </c>
      <c r="C18" s="680">
        <v>7630</v>
      </c>
      <c r="D18" s="1027">
        <v>10</v>
      </c>
      <c r="E18" s="1027">
        <v>10</v>
      </c>
      <c r="F18" s="1027">
        <v>10</v>
      </c>
      <c r="G18" s="1027">
        <v>10</v>
      </c>
      <c r="H18" s="1027">
        <v>10</v>
      </c>
      <c r="I18" s="1027">
        <v>10</v>
      </c>
      <c r="J18" s="1027">
        <v>10</v>
      </c>
      <c r="K18" s="1026">
        <f t="shared" si="2"/>
        <v>70</v>
      </c>
    </row>
    <row r="19" spans="1:16" ht="15.75" thickBot="1">
      <c r="A19" s="543" t="s">
        <v>1732</v>
      </c>
      <c r="B19" s="256" t="s">
        <v>2267</v>
      </c>
      <c r="C19" s="680">
        <v>7640</v>
      </c>
      <c r="D19" s="1027">
        <v>10</v>
      </c>
      <c r="E19" s="1027">
        <v>10</v>
      </c>
      <c r="F19" s="1027">
        <v>10</v>
      </c>
      <c r="G19" s="1027">
        <v>10</v>
      </c>
      <c r="H19" s="1027">
        <v>10</v>
      </c>
      <c r="I19" s="1027">
        <v>10</v>
      </c>
      <c r="J19" s="1027">
        <v>10</v>
      </c>
      <c r="K19" s="1026">
        <f t="shared" si="2"/>
        <v>70</v>
      </c>
    </row>
    <row r="20" spans="1:16" ht="15.75" thickBot="1">
      <c r="A20" s="543" t="s">
        <v>1701</v>
      </c>
      <c r="B20" s="256" t="s">
        <v>2267</v>
      </c>
      <c r="C20" s="680">
        <v>7650</v>
      </c>
      <c r="D20" s="1027">
        <v>10</v>
      </c>
      <c r="E20" s="1027">
        <v>10</v>
      </c>
      <c r="F20" s="1027">
        <v>10</v>
      </c>
      <c r="G20" s="1027">
        <v>10</v>
      </c>
      <c r="H20" s="1027">
        <v>10</v>
      </c>
      <c r="I20" s="1027">
        <v>10</v>
      </c>
      <c r="J20" s="1027">
        <v>10</v>
      </c>
      <c r="K20" s="1026">
        <f t="shared" si="2"/>
        <v>70</v>
      </c>
    </row>
    <row r="21" spans="1:16" ht="30.75" thickBot="1">
      <c r="A21" s="543" t="s">
        <v>1702</v>
      </c>
      <c r="B21" s="256" t="s">
        <v>2613</v>
      </c>
      <c r="C21" s="680">
        <v>7660</v>
      </c>
      <c r="D21" s="1027">
        <v>10</v>
      </c>
      <c r="E21" s="1027">
        <v>10</v>
      </c>
      <c r="F21" s="1027">
        <v>10</v>
      </c>
      <c r="G21" s="1027">
        <v>10</v>
      </c>
      <c r="H21" s="1027">
        <v>10</v>
      </c>
      <c r="I21" s="1027">
        <v>10</v>
      </c>
      <c r="J21" s="1027">
        <v>10</v>
      </c>
      <c r="K21" s="1026">
        <f t="shared" si="2"/>
        <v>70</v>
      </c>
    </row>
    <row r="22" spans="1:16" ht="30.75" thickBot="1">
      <c r="A22" s="543" t="s">
        <v>1703</v>
      </c>
      <c r="B22" s="256" t="s">
        <v>2613</v>
      </c>
      <c r="C22" s="680">
        <v>7670</v>
      </c>
      <c r="D22" s="1027">
        <v>10</v>
      </c>
      <c r="E22" s="1027">
        <v>10</v>
      </c>
      <c r="F22" s="1027">
        <v>10</v>
      </c>
      <c r="G22" s="1027">
        <v>10</v>
      </c>
      <c r="H22" s="1027">
        <v>10</v>
      </c>
      <c r="I22" s="1027">
        <v>10</v>
      </c>
      <c r="J22" s="1027">
        <v>10</v>
      </c>
      <c r="K22" s="1026">
        <f t="shared" si="2"/>
        <v>70</v>
      </c>
    </row>
    <row r="23" spans="1:16" ht="30.75" thickBot="1">
      <c r="A23" s="251" t="s">
        <v>2616</v>
      </c>
      <c r="B23" s="256" t="s">
        <v>2613</v>
      </c>
      <c r="C23" s="680">
        <v>7680</v>
      </c>
      <c r="D23" s="1027">
        <v>10</v>
      </c>
      <c r="E23" s="1027">
        <v>10</v>
      </c>
      <c r="F23" s="1027">
        <v>10</v>
      </c>
      <c r="G23" s="1027">
        <v>10</v>
      </c>
      <c r="H23" s="1027">
        <v>10</v>
      </c>
      <c r="I23" s="1027">
        <v>10</v>
      </c>
      <c r="J23" s="1027">
        <v>10</v>
      </c>
      <c r="K23" s="1026">
        <f t="shared" si="2"/>
        <v>70</v>
      </c>
    </row>
    <row r="24" spans="1:16" ht="15.75" thickBot="1">
      <c r="A24" s="543" t="s">
        <v>1591</v>
      </c>
      <c r="B24" s="256" t="s">
        <v>2267</v>
      </c>
      <c r="C24" s="681">
        <v>7690</v>
      </c>
      <c r="D24" s="1027">
        <v>10</v>
      </c>
      <c r="E24" s="1027">
        <v>10</v>
      </c>
      <c r="F24" s="1027">
        <v>10</v>
      </c>
      <c r="G24" s="1027">
        <v>10</v>
      </c>
      <c r="H24" s="1027">
        <v>10</v>
      </c>
      <c r="I24" s="1027">
        <v>10</v>
      </c>
      <c r="J24" s="1027">
        <v>10</v>
      </c>
      <c r="K24" s="1026">
        <f t="shared" si="2"/>
        <v>70</v>
      </c>
    </row>
    <row r="25" spans="1:16" ht="15.75" thickBot="1">
      <c r="A25" s="660" t="s">
        <v>2424</v>
      </c>
      <c r="B25" s="256" t="s">
        <v>2267</v>
      </c>
      <c r="C25" s="682">
        <v>7699</v>
      </c>
      <c r="D25" s="1026">
        <f t="shared" ref="D25:J25" si="3">SUM(D16:D24)</f>
        <v>90</v>
      </c>
      <c r="E25" s="1026">
        <f t="shared" si="3"/>
        <v>90</v>
      </c>
      <c r="F25" s="1026">
        <f t="shared" si="3"/>
        <v>90</v>
      </c>
      <c r="G25" s="1026">
        <f t="shared" si="3"/>
        <v>90</v>
      </c>
      <c r="H25" s="1026">
        <f t="shared" si="3"/>
        <v>90</v>
      </c>
      <c r="I25" s="1026">
        <f t="shared" si="3"/>
        <v>90</v>
      </c>
      <c r="J25" s="1026">
        <f t="shared" si="3"/>
        <v>90</v>
      </c>
      <c r="K25" s="1026">
        <f t="shared" si="2"/>
        <v>630</v>
      </c>
    </row>
    <row r="26" spans="1:16" ht="15.75" thickBot="1">
      <c r="A26" s="365"/>
      <c r="B26" s="452"/>
      <c r="C26" s="677"/>
      <c r="D26" s="1035"/>
      <c r="E26" s="1035"/>
      <c r="F26" s="1035"/>
      <c r="G26" s="1035"/>
      <c r="H26" s="1036"/>
      <c r="I26" s="1036"/>
      <c r="J26" s="1035"/>
      <c r="K26" s="1036"/>
    </row>
    <row r="27" spans="1:16" ht="43.5" thickBot="1">
      <c r="A27" s="365" t="s">
        <v>1704</v>
      </c>
      <c r="B27" s="256" t="s">
        <v>461</v>
      </c>
      <c r="C27" s="681">
        <v>7710</v>
      </c>
      <c r="D27" s="1031">
        <v>10</v>
      </c>
      <c r="E27" s="1031">
        <v>10</v>
      </c>
      <c r="F27" s="1031">
        <v>10</v>
      </c>
      <c r="G27" s="1031">
        <v>10</v>
      </c>
      <c r="H27" s="1031">
        <v>10</v>
      </c>
      <c r="I27" s="1031">
        <v>10</v>
      </c>
      <c r="J27" s="1031">
        <v>10</v>
      </c>
      <c r="K27" s="1026">
        <f>SUM(D27:J27)</f>
        <v>70</v>
      </c>
    </row>
    <row r="29" spans="1:16">
      <c r="A29" s="41"/>
    </row>
    <row r="30" spans="1:16" s="1139" customFormat="1" ht="13.5">
      <c r="B30" s="37"/>
      <c r="C30" s="37">
        <v>830</v>
      </c>
      <c r="D30" s="28" t="b">
        <f>D14=SUM(D6:D13)</f>
        <v>1</v>
      </c>
      <c r="E30" s="29" t="s">
        <v>2706</v>
      </c>
      <c r="K30" s="28"/>
      <c r="L30" s="28"/>
      <c r="M30" s="28"/>
      <c r="N30" s="28"/>
      <c r="O30" s="28"/>
      <c r="P30" s="28"/>
    </row>
    <row r="31" spans="1:16" s="1134" customFormat="1" ht="13.5">
      <c r="C31" s="37">
        <v>840</v>
      </c>
      <c r="D31" s="28" t="b">
        <f>E14=SUM(E6:E13)</f>
        <v>1</v>
      </c>
      <c r="E31" s="29" t="s">
        <v>2707</v>
      </c>
    </row>
    <row r="32" spans="1:16" s="1134" customFormat="1" ht="13.5">
      <c r="C32" s="37">
        <v>850</v>
      </c>
      <c r="D32" s="28" t="b">
        <f>F14=SUM(F6:F13)</f>
        <v>1</v>
      </c>
      <c r="E32" s="29" t="s">
        <v>2708</v>
      </c>
    </row>
    <row r="33" spans="3:5" s="1134" customFormat="1" ht="13.5">
      <c r="C33" s="37">
        <v>860</v>
      </c>
      <c r="D33" s="28" t="b">
        <f>G14=SUM(G6:G13)</f>
        <v>1</v>
      </c>
      <c r="E33" s="29" t="s">
        <v>2709</v>
      </c>
    </row>
    <row r="34" spans="3:5" s="1134" customFormat="1" ht="13.5">
      <c r="C34" s="37">
        <v>870</v>
      </c>
      <c r="D34" s="28" t="b">
        <f>H14=SUM(H6:H13)</f>
        <v>1</v>
      </c>
      <c r="E34" s="29" t="s">
        <v>2710</v>
      </c>
    </row>
    <row r="35" spans="3:5" s="1134" customFormat="1" ht="13.5">
      <c r="C35" s="37">
        <v>880</v>
      </c>
      <c r="D35" s="28" t="b">
        <f>I14=SUM(I6:I13)</f>
        <v>1</v>
      </c>
      <c r="E35" s="29" t="s">
        <v>2711</v>
      </c>
    </row>
    <row r="36" spans="3:5" s="1134" customFormat="1" ht="13.5">
      <c r="C36" s="37">
        <v>890</v>
      </c>
      <c r="D36" s="28" t="b">
        <f>J14=SUM(J6:J13)</f>
        <v>1</v>
      </c>
      <c r="E36" s="29" t="s">
        <v>2712</v>
      </c>
    </row>
    <row r="37" spans="3:5" s="1134" customFormat="1" ht="13.5">
      <c r="C37" s="37">
        <v>900</v>
      </c>
      <c r="D37" s="28" t="b">
        <f>K14=SUM(K6:K13)</f>
        <v>1</v>
      </c>
      <c r="E37" s="29" t="s">
        <v>2713</v>
      </c>
    </row>
    <row r="38" spans="3:5" s="1134" customFormat="1" ht="13.5">
      <c r="C38" s="37">
        <v>910</v>
      </c>
      <c r="D38" s="28" t="b">
        <f>D25=SUM(D16:D24)</f>
        <v>1</v>
      </c>
      <c r="E38" s="29" t="s">
        <v>2714</v>
      </c>
    </row>
    <row r="39" spans="3:5" s="1134" customFormat="1" ht="13.5">
      <c r="C39" s="37">
        <v>920</v>
      </c>
      <c r="D39" s="28" t="b">
        <f>E25=SUM(E16:E24)</f>
        <v>1</v>
      </c>
      <c r="E39" s="29" t="s">
        <v>2715</v>
      </c>
    </row>
    <row r="40" spans="3:5" s="1134" customFormat="1" ht="13.5">
      <c r="C40" s="37">
        <v>930</v>
      </c>
      <c r="D40" s="28" t="b">
        <f>F25=SUM(F16:F24)</f>
        <v>1</v>
      </c>
      <c r="E40" s="29" t="s">
        <v>2716</v>
      </c>
    </row>
    <row r="41" spans="3:5" s="1134" customFormat="1" ht="13.5">
      <c r="C41" s="37">
        <v>940</v>
      </c>
      <c r="D41" s="28" t="b">
        <f>G25=SUM(G16:G24)</f>
        <v>1</v>
      </c>
      <c r="E41" s="29" t="s">
        <v>2020</v>
      </c>
    </row>
    <row r="42" spans="3:5" s="1134" customFormat="1" ht="13.5">
      <c r="C42" s="37">
        <v>950</v>
      </c>
      <c r="D42" s="28" t="b">
        <f>H25=SUM(H16:H24)</f>
        <v>1</v>
      </c>
      <c r="E42" s="29" t="s">
        <v>2021</v>
      </c>
    </row>
    <row r="43" spans="3:5" s="1134" customFormat="1" ht="13.5">
      <c r="C43" s="37">
        <v>960</v>
      </c>
      <c r="D43" s="28" t="b">
        <f>I25=SUM(I16:I24)</f>
        <v>1</v>
      </c>
      <c r="E43" s="29" t="s">
        <v>2022</v>
      </c>
    </row>
    <row r="44" spans="3:5" s="1134" customFormat="1" ht="13.5">
      <c r="C44" s="37">
        <v>970</v>
      </c>
      <c r="D44" s="28" t="b">
        <f>J25=SUM(J16:J24)</f>
        <v>1</v>
      </c>
      <c r="E44" s="29" t="s">
        <v>2023</v>
      </c>
    </row>
    <row r="45" spans="3:5" s="1134" customFormat="1" ht="13.5">
      <c r="C45" s="37">
        <v>980</v>
      </c>
      <c r="D45" s="28" t="b">
        <f>K25=SUM(K16:K24)</f>
        <v>1</v>
      </c>
      <c r="E45" s="29" t="s">
        <v>2024</v>
      </c>
    </row>
    <row r="46" spans="3:5" s="1134" customFormat="1" ht="13.5">
      <c r="C46" s="37">
        <v>990</v>
      </c>
      <c r="D46" s="28" t="b">
        <f>K6=SUM(D6:J6)</f>
        <v>1</v>
      </c>
      <c r="E46" s="29" t="s">
        <v>2025</v>
      </c>
    </row>
    <row r="47" spans="3:5" s="1134" customFormat="1" ht="13.5">
      <c r="C47" s="37">
        <v>1000</v>
      </c>
      <c r="D47" s="28" t="b">
        <f t="shared" ref="D47:D54" si="4">K7=SUM(D7:J7)</f>
        <v>1</v>
      </c>
      <c r="E47" s="29" t="s">
        <v>2026</v>
      </c>
    </row>
    <row r="48" spans="3:5" s="1134" customFormat="1" ht="13.5">
      <c r="C48" s="37">
        <v>1010</v>
      </c>
      <c r="D48" s="28" t="b">
        <f t="shared" si="4"/>
        <v>1</v>
      </c>
      <c r="E48" s="29" t="s">
        <v>2027</v>
      </c>
    </row>
    <row r="49" spans="3:5" s="1134" customFormat="1" ht="13.5">
      <c r="C49" s="37">
        <v>1020</v>
      </c>
      <c r="D49" s="28" t="b">
        <f t="shared" si="4"/>
        <v>1</v>
      </c>
      <c r="E49" s="29" t="s">
        <v>2028</v>
      </c>
    </row>
    <row r="50" spans="3:5" s="1134" customFormat="1" ht="13.5">
      <c r="C50" s="37">
        <v>1030</v>
      </c>
      <c r="D50" s="28" t="b">
        <f t="shared" si="4"/>
        <v>1</v>
      </c>
      <c r="E50" s="29" t="s">
        <v>2029</v>
      </c>
    </row>
    <row r="51" spans="3:5" s="1134" customFormat="1" ht="13.5">
      <c r="C51" s="37">
        <v>1040</v>
      </c>
      <c r="D51" s="28" t="b">
        <f t="shared" si="4"/>
        <v>1</v>
      </c>
      <c r="E51" s="29" t="s">
        <v>2030</v>
      </c>
    </row>
    <row r="52" spans="3:5" s="1134" customFormat="1" ht="13.5">
      <c r="C52" s="37">
        <v>1050</v>
      </c>
      <c r="D52" s="28" t="b">
        <f t="shared" si="4"/>
        <v>1</v>
      </c>
      <c r="E52" s="29" t="s">
        <v>2031</v>
      </c>
    </row>
    <row r="53" spans="3:5" s="1134" customFormat="1" ht="13.5">
      <c r="C53" s="37">
        <v>1060</v>
      </c>
      <c r="D53" s="28" t="b">
        <f t="shared" si="4"/>
        <v>1</v>
      </c>
      <c r="E53" s="29" t="s">
        <v>2032</v>
      </c>
    </row>
    <row r="54" spans="3:5" s="1134" customFormat="1" ht="13.5">
      <c r="C54" s="37">
        <v>1070</v>
      </c>
      <c r="D54" s="28" t="b">
        <f t="shared" si="4"/>
        <v>1</v>
      </c>
      <c r="E54" s="29" t="s">
        <v>2033</v>
      </c>
    </row>
    <row r="55" spans="3:5" s="1134" customFormat="1" ht="13.5">
      <c r="C55" s="37">
        <v>1080</v>
      </c>
      <c r="D55" s="28" t="b">
        <f t="shared" ref="D55:D64" si="5">K16=SUM(D16:J16)</f>
        <v>1</v>
      </c>
      <c r="E55" s="29" t="s">
        <v>2034</v>
      </c>
    </row>
    <row r="56" spans="3:5" s="1134" customFormat="1" ht="13.5">
      <c r="C56" s="37">
        <v>1090</v>
      </c>
      <c r="D56" s="28" t="b">
        <f t="shared" si="5"/>
        <v>1</v>
      </c>
      <c r="E56" s="29" t="s">
        <v>2035</v>
      </c>
    </row>
    <row r="57" spans="3:5" s="1134" customFormat="1" ht="13.5">
      <c r="C57" s="37">
        <v>1100</v>
      </c>
      <c r="D57" s="28" t="b">
        <f t="shared" si="5"/>
        <v>1</v>
      </c>
      <c r="E57" s="29" t="s">
        <v>2036</v>
      </c>
    </row>
    <row r="58" spans="3:5" s="1134" customFormat="1" ht="13.5">
      <c r="C58" s="37">
        <v>1110</v>
      </c>
      <c r="D58" s="28" t="b">
        <f t="shared" si="5"/>
        <v>1</v>
      </c>
      <c r="E58" s="29" t="s">
        <v>2037</v>
      </c>
    </row>
    <row r="59" spans="3:5" s="1134" customFormat="1" ht="13.5">
      <c r="C59" s="37">
        <v>1120</v>
      </c>
      <c r="D59" s="28" t="b">
        <f t="shared" si="5"/>
        <v>1</v>
      </c>
      <c r="E59" s="29" t="s">
        <v>2038</v>
      </c>
    </row>
    <row r="60" spans="3:5" s="1134" customFormat="1" ht="13.5">
      <c r="C60" s="37">
        <v>1130</v>
      </c>
      <c r="D60" s="28" t="b">
        <f t="shared" si="5"/>
        <v>1</v>
      </c>
      <c r="E60" s="29" t="s">
        <v>2039</v>
      </c>
    </row>
    <row r="61" spans="3:5" s="1134" customFormat="1" ht="13.5">
      <c r="C61" s="37">
        <v>1140</v>
      </c>
      <c r="D61" s="28" t="b">
        <f t="shared" si="5"/>
        <v>1</v>
      </c>
      <c r="E61" s="29" t="s">
        <v>2040</v>
      </c>
    </row>
    <row r="62" spans="3:5" s="1134" customFormat="1" ht="13.5">
      <c r="C62" s="37">
        <v>1150</v>
      </c>
      <c r="D62" s="28" t="b">
        <f t="shared" si="5"/>
        <v>1</v>
      </c>
      <c r="E62" s="29" t="s">
        <v>2041</v>
      </c>
    </row>
    <row r="63" spans="3:5" s="1134" customFormat="1" ht="13.5">
      <c r="C63" s="37">
        <v>1160</v>
      </c>
      <c r="D63" s="28" t="b">
        <f t="shared" si="5"/>
        <v>1</v>
      </c>
      <c r="E63" s="29" t="s">
        <v>2042</v>
      </c>
    </row>
    <row r="64" spans="3:5" s="1134" customFormat="1" ht="13.5">
      <c r="C64" s="37">
        <v>1170</v>
      </c>
      <c r="D64" s="28" t="b">
        <f t="shared" si="5"/>
        <v>1</v>
      </c>
      <c r="E64" s="29" t="s">
        <v>2043</v>
      </c>
    </row>
    <row r="65" spans="3:5" s="1134" customFormat="1" ht="13.5">
      <c r="C65" s="37">
        <v>1180</v>
      </c>
      <c r="D65" s="28" t="b">
        <f>K27=SUM(D27:J27)</f>
        <v>1</v>
      </c>
      <c r="E65" s="29" t="s">
        <v>2044</v>
      </c>
    </row>
  </sheetData>
  <customSheetViews>
    <customSheetView guid="{5D819D0C-25F7-408A-B978-F4F86F7655CA}" showPageBreaks="1" showRuler="0" topLeftCell="A16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orientation="portrait" r:id="rId4"/>
  <headerFooter alignWithMargins="0">
    <oddHeader>&amp;C41.B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/>
  </sheetViews>
  <sheetFormatPr defaultRowHeight="12.75"/>
  <cols>
    <col min="1" max="1" width="28.5703125" customWidth="1"/>
    <col min="2" max="2" width="13" customWidth="1"/>
    <col min="3" max="3" width="10.28515625" customWidth="1"/>
    <col min="4" max="4" width="10.42578125" customWidth="1"/>
    <col min="9" max="9" width="27" customWidth="1"/>
  </cols>
  <sheetData>
    <row r="1" spans="1:4" s="5" customFormat="1" ht="15.75">
      <c r="A1" s="477" t="s">
        <v>2422</v>
      </c>
      <c r="B1" s="279"/>
      <c r="C1" s="279"/>
      <c r="D1" s="279"/>
    </row>
    <row r="2" spans="1:4" ht="16.5" thickBot="1">
      <c r="A2" s="242" t="s">
        <v>1635</v>
      </c>
      <c r="B2" s="279"/>
      <c r="C2" s="279"/>
      <c r="D2" s="279"/>
    </row>
    <row r="3" spans="1:4" ht="79.5" customHeight="1" thickBot="1">
      <c r="A3" s="243" t="s">
        <v>2425</v>
      </c>
      <c r="B3" s="271" t="s">
        <v>137</v>
      </c>
      <c r="C3" s="683"/>
      <c r="D3" s="271" t="s">
        <v>1673</v>
      </c>
    </row>
    <row r="4" spans="1:4" ht="15.75" thickBot="1">
      <c r="A4" s="573"/>
      <c r="B4" s="684"/>
      <c r="C4" s="452" t="s">
        <v>1225</v>
      </c>
      <c r="D4" s="387" t="s">
        <v>1013</v>
      </c>
    </row>
    <row r="5" spans="1:4" ht="15.75" thickBot="1">
      <c r="A5" s="498" t="s">
        <v>1626</v>
      </c>
      <c r="B5" s="452" t="s">
        <v>1627</v>
      </c>
      <c r="C5" s="332">
        <v>7720</v>
      </c>
      <c r="D5" s="908">
        <v>20</v>
      </c>
    </row>
    <row r="6" spans="1:4" ht="15.75" thickBot="1">
      <c r="A6" s="498" t="s">
        <v>1628</v>
      </c>
      <c r="B6" s="452" t="s">
        <v>1629</v>
      </c>
      <c r="C6" s="250">
        <v>7730</v>
      </c>
      <c r="D6" s="908">
        <v>20</v>
      </c>
    </row>
    <row r="7" spans="1:4" ht="15.75" thickBot="1">
      <c r="A7" s="498" t="s">
        <v>1630</v>
      </c>
      <c r="B7" s="452" t="s">
        <v>1631</v>
      </c>
      <c r="C7" s="250">
        <v>7740</v>
      </c>
      <c r="D7" s="908">
        <v>20</v>
      </c>
    </row>
    <row r="8" spans="1:4" ht="15.75" thickBot="1">
      <c r="A8" s="498" t="s">
        <v>1632</v>
      </c>
      <c r="B8" s="452" t="s">
        <v>1633</v>
      </c>
      <c r="C8" s="250">
        <v>7750</v>
      </c>
      <c r="D8" s="908">
        <v>20</v>
      </c>
    </row>
    <row r="9" spans="1:4" ht="15.75" thickBot="1">
      <c r="A9" s="498" t="s">
        <v>1198</v>
      </c>
      <c r="B9" s="452" t="s">
        <v>1634</v>
      </c>
      <c r="C9" s="336">
        <v>7760</v>
      </c>
      <c r="D9" s="908">
        <v>20</v>
      </c>
    </row>
    <row r="10" spans="1:4" ht="15.75" thickBot="1">
      <c r="A10" s="685" t="s">
        <v>1059</v>
      </c>
      <c r="B10" s="686"/>
      <c r="C10" s="452">
        <v>7799</v>
      </c>
      <c r="D10" s="831">
        <f>SUM(D5:D9)</f>
        <v>100</v>
      </c>
    </row>
    <row r="13" spans="1:4" s="1134" customFormat="1" ht="13.5">
      <c r="B13" s="37">
        <v>1190</v>
      </c>
      <c r="C13" s="28" t="b">
        <f>D10=SUM(D5:D9)</f>
        <v>1</v>
      </c>
      <c r="D13" s="29" t="s">
        <v>2045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30" showGridLines="0" showRuler="0">
      <selection activeCell="A2" sqref="A2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30" showGridLines="0" showRuler="0">
      <selection activeCell="A2" sqref="A2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90" orientation="landscape" r:id="rId4"/>
  <headerFooter alignWithMargins="0">
    <oddHeader>&amp;C41.C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GridLines="0" topLeftCell="A31" zoomScaleNormal="100" zoomScaleSheetLayoutView="100" workbookViewId="0">
      <selection activeCell="C32" sqref="C32"/>
    </sheetView>
  </sheetViews>
  <sheetFormatPr defaultRowHeight="12.75"/>
  <cols>
    <col min="1" max="1" width="35.42578125" customWidth="1"/>
    <col min="2" max="2" width="30.5703125" customWidth="1"/>
    <col min="4" max="4" width="6.85546875" customWidth="1"/>
    <col min="5" max="5" width="8" customWidth="1"/>
    <col min="6" max="6" width="8.140625" customWidth="1"/>
    <col min="7" max="7" width="8" customWidth="1"/>
    <col min="9" max="9" width="32.7109375" customWidth="1"/>
  </cols>
  <sheetData>
    <row r="1" spans="1:7" ht="16.5" thickBot="1">
      <c r="A1" s="308" t="s">
        <v>524</v>
      </c>
      <c r="B1" s="279"/>
      <c r="C1" s="279"/>
      <c r="D1" s="279"/>
      <c r="E1" s="279"/>
      <c r="F1" s="279"/>
      <c r="G1" s="279"/>
    </row>
    <row r="2" spans="1:7" ht="146.25" customHeight="1" thickBot="1">
      <c r="A2" s="277" t="s">
        <v>1856</v>
      </c>
      <c r="B2" s="243" t="s">
        <v>1857</v>
      </c>
      <c r="C2" s="271" t="s">
        <v>1858</v>
      </c>
      <c r="D2" s="309"/>
      <c r="E2" s="271" t="s">
        <v>1921</v>
      </c>
      <c r="F2" s="271" t="s">
        <v>1906</v>
      </c>
      <c r="G2" s="271" t="s">
        <v>1121</v>
      </c>
    </row>
    <row r="3" spans="1:7" s="2" customFormat="1" ht="15.75" thickBot="1">
      <c r="A3" s="288"/>
      <c r="B3" s="289"/>
      <c r="C3" s="290"/>
      <c r="D3" s="291" t="s">
        <v>1012</v>
      </c>
      <c r="E3" s="292" t="s">
        <v>1013</v>
      </c>
      <c r="F3" s="293" t="s">
        <v>1014</v>
      </c>
      <c r="G3" s="293" t="s">
        <v>1016</v>
      </c>
    </row>
    <row r="4" spans="1:7" ht="15">
      <c r="A4" s="294" t="s">
        <v>1859</v>
      </c>
      <c r="B4" s="295" t="s">
        <v>1860</v>
      </c>
      <c r="C4" s="296" t="s">
        <v>1861</v>
      </c>
      <c r="D4" s="66">
        <v>7100</v>
      </c>
      <c r="E4" s="832">
        <v>20</v>
      </c>
      <c r="F4" s="832"/>
      <c r="G4" s="832">
        <v>400</v>
      </c>
    </row>
    <row r="5" spans="1:7" ht="15">
      <c r="A5" s="294"/>
      <c r="B5" s="295" t="s">
        <v>1862</v>
      </c>
      <c r="C5" s="296" t="s">
        <v>1863</v>
      </c>
      <c r="D5" s="250">
        <v>7110</v>
      </c>
      <c r="E5" s="832">
        <v>20</v>
      </c>
      <c r="F5" s="832"/>
      <c r="G5" s="832">
        <v>400</v>
      </c>
    </row>
    <row r="6" spans="1:7" ht="15">
      <c r="A6" s="294"/>
      <c r="B6" s="295" t="s">
        <v>1864</v>
      </c>
      <c r="C6" s="296" t="s">
        <v>1865</v>
      </c>
      <c r="D6" s="250">
        <v>7120</v>
      </c>
      <c r="E6" s="832">
        <v>20</v>
      </c>
      <c r="F6" s="832"/>
      <c r="G6" s="832">
        <v>400</v>
      </c>
    </row>
    <row r="7" spans="1:7" ht="15">
      <c r="A7" s="294"/>
      <c r="B7" s="295" t="s">
        <v>1866</v>
      </c>
      <c r="C7" s="296" t="s">
        <v>1867</v>
      </c>
      <c r="D7" s="250">
        <v>7130</v>
      </c>
      <c r="E7" s="832">
        <v>20</v>
      </c>
      <c r="F7" s="832"/>
      <c r="G7" s="832">
        <v>400</v>
      </c>
    </row>
    <row r="8" spans="1:7" ht="15">
      <c r="A8" s="294"/>
      <c r="B8" s="295" t="s">
        <v>1868</v>
      </c>
      <c r="C8" s="296" t="s">
        <v>1869</v>
      </c>
      <c r="D8" s="250">
        <v>7140</v>
      </c>
      <c r="E8" s="832">
        <v>20</v>
      </c>
      <c r="F8" s="832"/>
      <c r="G8" s="832">
        <v>400</v>
      </c>
    </row>
    <row r="9" spans="1:7" ht="15.75" thickBot="1">
      <c r="A9" s="294"/>
      <c r="B9" s="295" t="s">
        <v>1591</v>
      </c>
      <c r="C9" s="296"/>
      <c r="D9" s="250">
        <v>7150</v>
      </c>
      <c r="E9" s="830">
        <v>20</v>
      </c>
      <c r="F9" s="830"/>
      <c r="G9" s="830">
        <v>400</v>
      </c>
    </row>
    <row r="10" spans="1:7" ht="15">
      <c r="A10" s="294" t="s">
        <v>1870</v>
      </c>
      <c r="B10" s="295" t="s">
        <v>1871</v>
      </c>
      <c r="C10" s="296" t="s">
        <v>1872</v>
      </c>
      <c r="D10" s="250">
        <v>7160</v>
      </c>
      <c r="E10" s="832"/>
      <c r="F10" s="832">
        <v>22</v>
      </c>
      <c r="G10" s="832">
        <v>400</v>
      </c>
    </row>
    <row r="11" spans="1:7" ht="15">
      <c r="A11" s="294"/>
      <c r="B11" s="295" t="s">
        <v>1873</v>
      </c>
      <c r="C11" s="296" t="s">
        <v>1874</v>
      </c>
      <c r="D11" s="250">
        <v>7170</v>
      </c>
      <c r="E11" s="832"/>
      <c r="F11" s="832">
        <v>22</v>
      </c>
      <c r="G11" s="832">
        <v>400</v>
      </c>
    </row>
    <row r="12" spans="1:7" ht="15">
      <c r="A12" s="294"/>
      <c r="B12" s="295" t="s">
        <v>1875</v>
      </c>
      <c r="C12" s="296" t="s">
        <v>1876</v>
      </c>
      <c r="D12" s="250">
        <v>7180</v>
      </c>
      <c r="E12" s="832"/>
      <c r="F12" s="832">
        <v>22</v>
      </c>
      <c r="G12" s="832">
        <v>400</v>
      </c>
    </row>
    <row r="13" spans="1:7" ht="15">
      <c r="A13" s="294"/>
      <c r="B13" s="295" t="s">
        <v>1877</v>
      </c>
      <c r="C13" s="296" t="s">
        <v>1878</v>
      </c>
      <c r="D13" s="250">
        <v>7190</v>
      </c>
      <c r="E13" s="832"/>
      <c r="F13" s="832">
        <v>22</v>
      </c>
      <c r="G13" s="832">
        <v>400</v>
      </c>
    </row>
    <row r="14" spans="1:7" ht="15.75" thickBot="1">
      <c r="A14" s="298"/>
      <c r="B14" s="297" t="s">
        <v>1591</v>
      </c>
      <c r="C14" s="299"/>
      <c r="D14" s="250">
        <v>7200</v>
      </c>
      <c r="E14" s="830"/>
      <c r="F14" s="830">
        <v>22</v>
      </c>
      <c r="G14" s="830">
        <v>400</v>
      </c>
    </row>
    <row r="15" spans="1:7" ht="15">
      <c r="A15" s="294" t="s">
        <v>1879</v>
      </c>
      <c r="B15" s="295" t="s">
        <v>1880</v>
      </c>
      <c r="C15" s="296" t="s">
        <v>1881</v>
      </c>
      <c r="D15" s="250">
        <v>7210</v>
      </c>
      <c r="E15" s="832">
        <v>20</v>
      </c>
      <c r="F15" s="832"/>
      <c r="G15" s="832">
        <v>400</v>
      </c>
    </row>
    <row r="16" spans="1:7" ht="15">
      <c r="A16" s="294"/>
      <c r="B16" s="295" t="s">
        <v>1882</v>
      </c>
      <c r="C16" s="296" t="s">
        <v>1883</v>
      </c>
      <c r="D16" s="250">
        <v>7220</v>
      </c>
      <c r="E16" s="832">
        <v>20</v>
      </c>
      <c r="F16" s="832"/>
      <c r="G16" s="832">
        <v>400</v>
      </c>
    </row>
    <row r="17" spans="1:10" ht="15">
      <c r="A17" s="294"/>
      <c r="B17" s="295" t="s">
        <v>1884</v>
      </c>
      <c r="C17" s="296" t="s">
        <v>1885</v>
      </c>
      <c r="D17" s="250">
        <v>7230</v>
      </c>
      <c r="E17" s="832">
        <v>20</v>
      </c>
      <c r="F17" s="832"/>
      <c r="G17" s="832">
        <v>400</v>
      </c>
    </row>
    <row r="18" spans="1:10" ht="15">
      <c r="A18" s="294"/>
      <c r="B18" s="295" t="s">
        <v>1886</v>
      </c>
      <c r="C18" s="296" t="s">
        <v>1887</v>
      </c>
      <c r="D18" s="250">
        <v>7240</v>
      </c>
      <c r="E18" s="832">
        <v>20</v>
      </c>
      <c r="F18" s="832"/>
      <c r="G18" s="832">
        <v>400</v>
      </c>
    </row>
    <row r="19" spans="1:10" ht="13.5" customHeight="1">
      <c r="A19" s="294"/>
      <c r="B19" s="295" t="s">
        <v>1914</v>
      </c>
      <c r="C19" s="296" t="s">
        <v>1915</v>
      </c>
      <c r="D19" s="250">
        <v>7250</v>
      </c>
      <c r="E19" s="832">
        <v>20</v>
      </c>
      <c r="F19" s="832"/>
      <c r="G19" s="832">
        <v>400</v>
      </c>
    </row>
    <row r="20" spans="1:10" ht="15.75" thickBot="1">
      <c r="A20" s="300"/>
      <c r="B20" s="297" t="s">
        <v>1591</v>
      </c>
      <c r="C20" s="299"/>
      <c r="D20" s="250">
        <v>7260</v>
      </c>
      <c r="E20" s="830">
        <v>20</v>
      </c>
      <c r="F20" s="830"/>
      <c r="G20" s="830">
        <v>400</v>
      </c>
    </row>
    <row r="21" spans="1:10" ht="15">
      <c r="A21" s="294" t="s">
        <v>1916</v>
      </c>
      <c r="B21" s="295" t="s">
        <v>1917</v>
      </c>
      <c r="C21" s="296"/>
      <c r="D21" s="250">
        <v>7270</v>
      </c>
      <c r="E21" s="832"/>
      <c r="F21" s="832">
        <v>22</v>
      </c>
      <c r="G21" s="832">
        <v>400</v>
      </c>
    </row>
    <row r="22" spans="1:10" ht="15">
      <c r="A22" s="294"/>
      <c r="B22" s="295" t="s">
        <v>1918</v>
      </c>
      <c r="C22" s="296"/>
      <c r="D22" s="250">
        <v>7280</v>
      </c>
      <c r="E22" s="832"/>
      <c r="F22" s="832">
        <v>22</v>
      </c>
      <c r="G22" s="832">
        <v>400</v>
      </c>
    </row>
    <row r="23" spans="1:10" ht="15">
      <c r="A23" s="294"/>
      <c r="B23" s="295" t="s">
        <v>1919</v>
      </c>
      <c r="C23" s="296"/>
      <c r="D23" s="250">
        <v>7290</v>
      </c>
      <c r="E23" s="832"/>
      <c r="F23" s="832">
        <v>22</v>
      </c>
      <c r="G23" s="832">
        <v>400</v>
      </c>
    </row>
    <row r="24" spans="1:10" ht="15.75" thickBot="1">
      <c r="A24" s="300"/>
      <c r="B24" s="297" t="s">
        <v>1591</v>
      </c>
      <c r="C24" s="299"/>
      <c r="D24" s="250">
        <v>7300</v>
      </c>
      <c r="E24" s="830"/>
      <c r="F24" s="830">
        <v>22</v>
      </c>
      <c r="G24" s="830">
        <v>400</v>
      </c>
    </row>
    <row r="25" spans="1:10" ht="15.75" thickBot="1">
      <c r="A25" s="300" t="s">
        <v>1920</v>
      </c>
      <c r="B25" s="297"/>
      <c r="C25" s="299"/>
      <c r="D25" s="250">
        <v>7310</v>
      </c>
      <c r="E25" s="830"/>
      <c r="F25" s="830">
        <v>22</v>
      </c>
      <c r="G25" s="830">
        <v>400</v>
      </c>
    </row>
    <row r="26" spans="1:10" ht="15.75" thickBot="1">
      <c r="A26" s="300" t="s">
        <v>1591</v>
      </c>
      <c r="B26" s="297"/>
      <c r="C26" s="299"/>
      <c r="D26" s="250">
        <v>7320</v>
      </c>
      <c r="E26" s="830"/>
      <c r="F26" s="830">
        <v>22</v>
      </c>
      <c r="G26" s="830">
        <v>400</v>
      </c>
    </row>
    <row r="27" spans="1:10" ht="30.75" thickBot="1">
      <c r="A27" s="301" t="s">
        <v>1657</v>
      </c>
      <c r="B27" s="302"/>
      <c r="C27" s="303"/>
      <c r="D27" s="61">
        <v>7500</v>
      </c>
      <c r="E27" s="834">
        <v>0</v>
      </c>
      <c r="F27" s="835">
        <v>0</v>
      </c>
      <c r="G27" s="836"/>
    </row>
    <row r="28" spans="1:10" ht="16.5" customHeight="1" thickBot="1">
      <c r="A28" s="310" t="s">
        <v>1059</v>
      </c>
      <c r="B28" s="305"/>
      <c r="C28" s="305"/>
      <c r="D28" s="306">
        <v>7999</v>
      </c>
      <c r="E28" s="837">
        <f>SUM(E4:E26)</f>
        <v>240</v>
      </c>
      <c r="F28" s="837">
        <f>SUM(F4:F26)</f>
        <v>242</v>
      </c>
      <c r="G28" s="837">
        <f>SUM(G4:G26)</f>
        <v>9200</v>
      </c>
    </row>
    <row r="32" spans="1:10" s="1134" customFormat="1" ht="14.25" customHeight="1">
      <c r="A32" s="1135" t="s">
        <v>2969</v>
      </c>
      <c r="B32" s="1173"/>
      <c r="C32" s="1119">
        <v>10</v>
      </c>
      <c r="D32" s="1120" t="b">
        <f>E28=SUM(E4:E26)</f>
        <v>1</v>
      </c>
      <c r="E32" s="1121" t="s">
        <v>2970</v>
      </c>
      <c r="F32" s="1167"/>
      <c r="G32" s="1167"/>
      <c r="H32" s="1167"/>
      <c r="I32" s="1167"/>
      <c r="J32" s="1135"/>
    </row>
    <row r="33" spans="1:12" s="1134" customFormat="1" ht="14.25" customHeight="1">
      <c r="A33" s="1135" t="s">
        <v>2969</v>
      </c>
      <c r="B33" s="1173"/>
      <c r="C33" s="1119">
        <v>20</v>
      </c>
      <c r="D33" s="1120" t="b">
        <f>F28=SUM(F4:F26)</f>
        <v>1</v>
      </c>
      <c r="E33" s="1121" t="s">
        <v>2971</v>
      </c>
      <c r="F33" s="1167"/>
      <c r="G33" s="1167"/>
      <c r="H33" s="1167"/>
      <c r="I33" s="1167"/>
      <c r="J33" s="1135"/>
    </row>
    <row r="34" spans="1:12" s="1134" customFormat="1" ht="14.25" customHeight="1">
      <c r="A34" s="1135" t="s">
        <v>2969</v>
      </c>
      <c r="B34" s="1173"/>
      <c r="C34" s="1119">
        <v>30</v>
      </c>
      <c r="D34" s="1120" t="b">
        <f>G28=SUM(G4:G26)</f>
        <v>1</v>
      </c>
      <c r="E34" s="1121" t="s">
        <v>1369</v>
      </c>
      <c r="F34" s="1167"/>
      <c r="G34" s="1167"/>
      <c r="H34" s="1167"/>
      <c r="I34" s="1167"/>
      <c r="J34" s="1135"/>
    </row>
    <row r="35" spans="1:12" s="1134" customFormat="1" ht="14.25" customHeight="1">
      <c r="A35" s="1139"/>
      <c r="B35" s="1172"/>
      <c r="C35" s="27">
        <v>40</v>
      </c>
      <c r="D35" s="28" t="b">
        <f>IF((OR(E4&gt;0,F4&gt;0)),(G4&gt;0), TRUE)</f>
        <v>1</v>
      </c>
      <c r="E35" s="38" t="s">
        <v>1370</v>
      </c>
      <c r="F35" s="1165"/>
      <c r="G35" s="1165"/>
      <c r="H35" s="1165"/>
      <c r="I35" s="1165"/>
    </row>
    <row r="36" spans="1:12" s="1134" customFormat="1" ht="14.25" customHeight="1">
      <c r="A36" s="1139"/>
      <c r="B36" s="1172"/>
      <c r="C36" s="27">
        <v>50</v>
      </c>
      <c r="D36" s="28" t="b">
        <f t="shared" ref="D36:D57" si="0">IF((OR(E5&gt;0,F5&gt;0)),(G5&gt;0), TRUE)</f>
        <v>1</v>
      </c>
      <c r="E36" s="38" t="s">
        <v>1371</v>
      </c>
      <c r="F36" s="1165"/>
      <c r="G36" s="1165"/>
      <c r="H36" s="1165"/>
      <c r="I36" s="1165"/>
    </row>
    <row r="37" spans="1:12" s="1134" customFormat="1" ht="14.25" customHeight="1">
      <c r="A37" s="1139"/>
      <c r="B37" s="1172"/>
      <c r="C37" s="27">
        <v>60</v>
      </c>
      <c r="D37" s="28" t="b">
        <f t="shared" si="0"/>
        <v>1</v>
      </c>
      <c r="E37" s="38" t="s">
        <v>1372</v>
      </c>
      <c r="F37" s="1165"/>
      <c r="G37" s="1165"/>
      <c r="H37" s="1165"/>
      <c r="I37" s="1165"/>
    </row>
    <row r="38" spans="1:12" s="1134" customFormat="1" ht="14.25" customHeight="1">
      <c r="A38" s="1139"/>
      <c r="B38" s="1172"/>
      <c r="C38" s="27">
        <v>70</v>
      </c>
      <c r="D38" s="28" t="b">
        <f t="shared" si="0"/>
        <v>1</v>
      </c>
      <c r="E38" s="38" t="s">
        <v>1373</v>
      </c>
      <c r="F38" s="1165"/>
      <c r="G38" s="1165"/>
      <c r="H38" s="1165"/>
      <c r="I38" s="1165"/>
    </row>
    <row r="39" spans="1:12" s="1134" customFormat="1" ht="14.25" customHeight="1">
      <c r="A39" s="1139"/>
      <c r="B39" s="1172"/>
      <c r="C39" s="27">
        <v>80</v>
      </c>
      <c r="D39" s="28" t="b">
        <f t="shared" si="0"/>
        <v>1</v>
      </c>
      <c r="E39" s="38" t="s">
        <v>1374</v>
      </c>
      <c r="F39" s="1165"/>
      <c r="G39" s="1165"/>
      <c r="H39" s="1165"/>
      <c r="I39" s="1165"/>
    </row>
    <row r="40" spans="1:12" s="1134" customFormat="1" ht="14.25" customHeight="1">
      <c r="A40" s="1139"/>
      <c r="B40" s="1172"/>
      <c r="C40" s="27">
        <v>90</v>
      </c>
      <c r="D40" s="28" t="b">
        <f t="shared" si="0"/>
        <v>1</v>
      </c>
      <c r="E40" s="38" t="s">
        <v>1375</v>
      </c>
      <c r="F40" s="1165"/>
      <c r="G40" s="1165"/>
      <c r="H40" s="1165"/>
      <c r="I40" s="1165"/>
    </row>
    <row r="41" spans="1:12" s="1134" customFormat="1" ht="14.25" customHeight="1">
      <c r="A41" s="1139"/>
      <c r="B41" s="1172"/>
      <c r="C41" s="27">
        <v>100</v>
      </c>
      <c r="D41" s="28" t="b">
        <f t="shared" si="0"/>
        <v>1</v>
      </c>
      <c r="E41" s="38" t="s">
        <v>1376</v>
      </c>
      <c r="F41" s="1165"/>
      <c r="G41" s="1165"/>
      <c r="H41" s="1165"/>
      <c r="I41" s="1165"/>
    </row>
    <row r="42" spans="1:12" s="1134" customFormat="1" ht="14.25" customHeight="1">
      <c r="A42" s="1139"/>
      <c r="B42" s="1172"/>
      <c r="C42" s="27">
        <v>110</v>
      </c>
      <c r="D42" s="28" t="b">
        <f t="shared" si="0"/>
        <v>1</v>
      </c>
      <c r="E42" s="38" t="s">
        <v>1377</v>
      </c>
      <c r="F42" s="1165"/>
      <c r="G42" s="1165"/>
      <c r="H42" s="1165"/>
      <c r="I42" s="1165"/>
    </row>
    <row r="43" spans="1:12" s="1134" customFormat="1" ht="14.25" customHeight="1">
      <c r="A43" s="1139"/>
      <c r="B43" s="1172"/>
      <c r="C43" s="27">
        <v>120</v>
      </c>
      <c r="D43" s="28" t="b">
        <f t="shared" si="0"/>
        <v>1</v>
      </c>
      <c r="E43" s="38" t="s">
        <v>2818</v>
      </c>
      <c r="F43" s="1165"/>
      <c r="G43" s="1165"/>
      <c r="H43" s="1165"/>
      <c r="I43" s="1165"/>
    </row>
    <row r="44" spans="1:12" s="1139" customFormat="1" ht="13.5">
      <c r="B44" s="1172"/>
      <c r="C44" s="27">
        <v>130</v>
      </c>
      <c r="D44" s="28" t="b">
        <f t="shared" si="0"/>
        <v>1</v>
      </c>
      <c r="E44" s="38" t="s">
        <v>2819</v>
      </c>
    </row>
    <row r="45" spans="1:12" s="1139" customFormat="1" ht="13.5">
      <c r="B45" s="1172"/>
      <c r="C45" s="27">
        <v>140</v>
      </c>
      <c r="D45" s="28" t="b">
        <f t="shared" si="0"/>
        <v>1</v>
      </c>
      <c r="E45" s="38" t="s">
        <v>2820</v>
      </c>
      <c r="F45" s="38"/>
      <c r="G45" s="38"/>
      <c r="H45" s="38"/>
      <c r="I45" s="38"/>
      <c r="J45" s="38"/>
      <c r="K45" s="38"/>
      <c r="L45" s="38"/>
    </row>
    <row r="46" spans="1:12" s="1139" customFormat="1" ht="13.5">
      <c r="B46" s="1172"/>
      <c r="C46" s="27">
        <v>150</v>
      </c>
      <c r="D46" s="28" t="b">
        <f t="shared" si="0"/>
        <v>1</v>
      </c>
      <c r="E46" s="38" t="s">
        <v>2821</v>
      </c>
      <c r="F46" s="38"/>
      <c r="G46" s="38"/>
      <c r="H46" s="38"/>
      <c r="I46" s="38"/>
      <c r="J46" s="38"/>
      <c r="K46" s="38"/>
      <c r="L46" s="38"/>
    </row>
    <row r="47" spans="1:12" s="1134" customFormat="1" ht="13.5">
      <c r="A47" s="1139"/>
      <c r="C47" s="27">
        <v>160</v>
      </c>
      <c r="D47" s="1134" t="b">
        <f t="shared" si="0"/>
        <v>1</v>
      </c>
      <c r="E47" s="1134" t="s">
        <v>2822</v>
      </c>
    </row>
    <row r="48" spans="1:12" s="1134" customFormat="1" ht="14.25" customHeight="1">
      <c r="A48" s="1139"/>
      <c r="B48" s="1172"/>
      <c r="C48" s="27">
        <v>170</v>
      </c>
      <c r="D48" s="28" t="b">
        <f t="shared" si="0"/>
        <v>1</v>
      </c>
      <c r="E48" s="38" t="s">
        <v>2823</v>
      </c>
      <c r="F48" s="1165"/>
      <c r="G48" s="1165"/>
      <c r="H48" s="1165"/>
      <c r="I48" s="1165"/>
    </row>
    <row r="49" spans="1:12" s="1134" customFormat="1" ht="14.25" customHeight="1">
      <c r="A49" s="1139"/>
      <c r="B49" s="1172"/>
      <c r="C49" s="27">
        <v>180</v>
      </c>
      <c r="D49" s="28" t="b">
        <f t="shared" si="0"/>
        <v>1</v>
      </c>
      <c r="E49" s="38" t="s">
        <v>2824</v>
      </c>
      <c r="F49" s="1165"/>
      <c r="G49" s="1165"/>
      <c r="H49" s="1165"/>
      <c r="I49" s="1165"/>
    </row>
    <row r="50" spans="1:12" s="1134" customFormat="1" ht="14.25" customHeight="1">
      <c r="A50" s="1139"/>
      <c r="B50" s="1172"/>
      <c r="C50" s="27">
        <v>190</v>
      </c>
      <c r="D50" s="28" t="b">
        <f t="shared" si="0"/>
        <v>1</v>
      </c>
      <c r="E50" s="38" t="s">
        <v>2825</v>
      </c>
      <c r="F50" s="1165"/>
      <c r="G50" s="1165"/>
      <c r="H50" s="1165"/>
      <c r="I50" s="1165"/>
    </row>
    <row r="51" spans="1:12" s="1134" customFormat="1" ht="14.25" customHeight="1">
      <c r="A51" s="1139"/>
      <c r="B51" s="1172"/>
      <c r="C51" s="27">
        <v>200</v>
      </c>
      <c r="D51" s="28" t="b">
        <f t="shared" si="0"/>
        <v>1</v>
      </c>
      <c r="E51" s="38" t="s">
        <v>2826</v>
      </c>
      <c r="F51" s="1165"/>
      <c r="G51" s="1165"/>
      <c r="H51" s="1165"/>
      <c r="I51" s="1165"/>
    </row>
    <row r="52" spans="1:12" s="1134" customFormat="1" ht="14.25" customHeight="1">
      <c r="A52" s="1139"/>
      <c r="B52" s="1172"/>
      <c r="C52" s="27">
        <v>210</v>
      </c>
      <c r="D52" s="28" t="b">
        <f t="shared" si="0"/>
        <v>1</v>
      </c>
      <c r="E52" s="38" t="s">
        <v>2827</v>
      </c>
      <c r="F52" s="1165"/>
      <c r="G52" s="1165"/>
      <c r="H52" s="1165"/>
      <c r="I52" s="1165"/>
    </row>
    <row r="53" spans="1:12" s="1134" customFormat="1" ht="14.25" customHeight="1">
      <c r="A53" s="1139"/>
      <c r="B53" s="1172"/>
      <c r="C53" s="27">
        <v>220</v>
      </c>
      <c r="D53" s="28" t="b">
        <f t="shared" si="0"/>
        <v>1</v>
      </c>
      <c r="E53" s="38" t="s">
        <v>2828</v>
      </c>
      <c r="F53" s="1165"/>
      <c r="G53" s="1165"/>
      <c r="H53" s="1165"/>
      <c r="I53" s="1165"/>
    </row>
    <row r="54" spans="1:12" s="1134" customFormat="1" ht="14.25" customHeight="1">
      <c r="A54" s="1139"/>
      <c r="B54" s="1172"/>
      <c r="C54" s="27">
        <v>230</v>
      </c>
      <c r="D54" s="28" t="b">
        <f t="shared" si="0"/>
        <v>1</v>
      </c>
      <c r="E54" s="38" t="s">
        <v>2829</v>
      </c>
      <c r="F54" s="1165"/>
      <c r="G54" s="1165"/>
      <c r="H54" s="1165"/>
      <c r="I54" s="1165"/>
    </row>
    <row r="55" spans="1:12" s="1134" customFormat="1" ht="14.25" customHeight="1">
      <c r="A55" s="1139"/>
      <c r="B55" s="1172"/>
      <c r="C55" s="27">
        <v>240</v>
      </c>
      <c r="D55" s="28" t="b">
        <f t="shared" si="0"/>
        <v>1</v>
      </c>
      <c r="E55" s="38" t="s">
        <v>2830</v>
      </c>
      <c r="F55" s="1165"/>
      <c r="G55" s="1165"/>
      <c r="H55" s="1165"/>
      <c r="I55" s="1165"/>
    </row>
    <row r="56" spans="1:12" s="1134" customFormat="1" ht="14.25" customHeight="1">
      <c r="A56" s="1139"/>
      <c r="B56" s="1172"/>
      <c r="C56" s="27">
        <v>250</v>
      </c>
      <c r="D56" s="28" t="b">
        <f t="shared" si="0"/>
        <v>1</v>
      </c>
      <c r="E56" s="38" t="s">
        <v>2831</v>
      </c>
      <c r="F56" s="1165"/>
      <c r="G56" s="1165"/>
      <c r="H56" s="1165"/>
      <c r="I56" s="1165"/>
    </row>
    <row r="57" spans="1:12" s="1134" customFormat="1" ht="14.25" customHeight="1">
      <c r="A57" s="1139"/>
      <c r="B57" s="1172"/>
      <c r="C57" s="27">
        <v>260</v>
      </c>
      <c r="D57" s="28" t="b">
        <f t="shared" si="0"/>
        <v>1</v>
      </c>
      <c r="E57" s="38" t="s">
        <v>2832</v>
      </c>
      <c r="F57" s="1165"/>
      <c r="G57" s="1165"/>
      <c r="H57" s="1165"/>
      <c r="I57" s="1165"/>
    </row>
    <row r="58" spans="1:12" s="1134" customFormat="1" ht="14.25" customHeight="1">
      <c r="A58" s="1135" t="s">
        <v>2969</v>
      </c>
      <c r="B58" s="1173"/>
      <c r="C58" s="1119">
        <v>270</v>
      </c>
      <c r="D58" s="1120" t="b">
        <f>E28='3.a'!D4</f>
        <v>1</v>
      </c>
      <c r="E58" s="1121" t="s">
        <v>2926</v>
      </c>
      <c r="F58" s="1167"/>
      <c r="G58" s="1167"/>
      <c r="H58" s="1167"/>
      <c r="I58" s="1167"/>
    </row>
    <row r="59" spans="1:12" s="1134" customFormat="1" ht="14.25" customHeight="1">
      <c r="A59" s="1135" t="s">
        <v>2969</v>
      </c>
      <c r="B59" s="1173"/>
      <c r="C59" s="1119">
        <v>280</v>
      </c>
      <c r="D59" s="1120" t="b">
        <f>F28='20.a'!D9</f>
        <v>1</v>
      </c>
      <c r="E59" s="1121" t="s">
        <v>2968</v>
      </c>
      <c r="F59" s="1167"/>
      <c r="G59" s="1167"/>
      <c r="H59" s="1167"/>
      <c r="I59" s="1167"/>
    </row>
    <row r="60" spans="1:12" s="1134" customFormat="1" ht="13.5">
      <c r="A60" s="1135" t="s">
        <v>2969</v>
      </c>
      <c r="B60" s="1173"/>
      <c r="C60" s="1119">
        <v>290</v>
      </c>
      <c r="D60" s="1120" t="b">
        <f>E27=0</f>
        <v>1</v>
      </c>
      <c r="E60" s="1121" t="s">
        <v>2963</v>
      </c>
      <c r="F60" s="1135"/>
      <c r="G60" s="1135"/>
      <c r="H60" s="1135"/>
      <c r="I60" s="1135"/>
    </row>
    <row r="61" spans="1:12" s="1134" customFormat="1" ht="13.5">
      <c r="A61" s="1135" t="s">
        <v>2969</v>
      </c>
      <c r="B61" s="1173"/>
      <c r="C61" s="1119">
        <v>300</v>
      </c>
      <c r="D61" s="1120" t="b">
        <f>F27=0</f>
        <v>1</v>
      </c>
      <c r="E61" s="1121" t="s">
        <v>2964</v>
      </c>
      <c r="F61" s="1121"/>
      <c r="G61" s="1121"/>
      <c r="H61" s="1121"/>
      <c r="I61" s="1121"/>
      <c r="J61" s="38"/>
      <c r="K61" s="38"/>
      <c r="L61" s="38"/>
    </row>
    <row r="64" spans="1:12">
      <c r="D64" s="12"/>
    </row>
    <row r="65" spans="4:4">
      <c r="D65" s="12"/>
    </row>
  </sheetData>
  <customSheetViews>
    <customSheetView guid="{5D819D0C-25F7-408A-B978-F4F86F7655CA}" showPageBreaks="1" showRuler="0">
      <selection activeCell="A28" sqref="A28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5" sqref="A15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5" sqref="A15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13" orientation="portrait" r:id="rId4"/>
  <headerFooter alignWithMargins="0">
    <oddHeader>&amp;C4.0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237"/>
  <sheetViews>
    <sheetView showGridLines="0" zoomScaleNormal="100" zoomScaleSheetLayoutView="100" workbookViewId="0"/>
  </sheetViews>
  <sheetFormatPr defaultRowHeight="12.75"/>
  <cols>
    <col min="1" max="1" width="71.7109375" customWidth="1"/>
    <col min="2" max="2" width="24.5703125" customWidth="1"/>
    <col min="3" max="3" width="7.7109375" customWidth="1"/>
    <col min="6" max="6" width="67" customWidth="1"/>
    <col min="7" max="7" width="16.28515625" customWidth="1"/>
    <col min="8" max="8" width="8.42578125" customWidth="1"/>
    <col min="17" max="17" width="48.42578125" customWidth="1"/>
  </cols>
  <sheetData>
    <row r="1" spans="1:4" s="5" customFormat="1" ht="16.5" thickBot="1">
      <c r="A1" s="477" t="s">
        <v>1757</v>
      </c>
    </row>
    <row r="2" spans="1:4" ht="99.75" customHeight="1" thickBot="1">
      <c r="A2" s="277" t="s">
        <v>229</v>
      </c>
      <c r="B2" s="271" t="s">
        <v>137</v>
      </c>
      <c r="C2" s="522"/>
      <c r="D2" s="271" t="s">
        <v>1499</v>
      </c>
    </row>
    <row r="3" spans="1:4" ht="15.75" thickBot="1">
      <c r="A3" s="539"/>
      <c r="B3" s="60"/>
      <c r="C3" s="341" t="s">
        <v>1012</v>
      </c>
      <c r="D3" s="283" t="s">
        <v>1013</v>
      </c>
    </row>
    <row r="4" spans="1:4" ht="15.75" thickBot="1">
      <c r="A4" s="365" t="s">
        <v>1200</v>
      </c>
      <c r="B4" s="697" t="s">
        <v>1526</v>
      </c>
      <c r="C4" s="342">
        <v>7100</v>
      </c>
      <c r="D4" s="672" t="s">
        <v>909</v>
      </c>
    </row>
    <row r="5" spans="1:4" ht="15.75" thickBot="1">
      <c r="A5" s="543" t="s">
        <v>2198</v>
      </c>
      <c r="B5" s="697" t="s">
        <v>1527</v>
      </c>
      <c r="C5" s="360">
        <v>7110</v>
      </c>
      <c r="D5" s="1079">
        <f>D6-D7</f>
        <v>100</v>
      </c>
    </row>
    <row r="6" spans="1:4" ht="15.75" thickBot="1">
      <c r="A6" s="543" t="s">
        <v>1621</v>
      </c>
      <c r="B6" s="697" t="s">
        <v>1527</v>
      </c>
      <c r="C6" s="360">
        <v>7120</v>
      </c>
      <c r="D6" s="672">
        <v>150</v>
      </c>
    </row>
    <row r="7" spans="1:4" ht="30.75" thickBot="1">
      <c r="A7" s="543" t="s">
        <v>1002</v>
      </c>
      <c r="B7" s="697" t="s">
        <v>1528</v>
      </c>
      <c r="C7" s="360">
        <v>7130</v>
      </c>
      <c r="D7" s="672">
        <v>50</v>
      </c>
    </row>
    <row r="8" spans="1:4" ht="15.75" thickBot="1">
      <c r="A8" s="523" t="s">
        <v>1500</v>
      </c>
      <c r="B8" s="697" t="s">
        <v>357</v>
      </c>
      <c r="C8" s="360">
        <v>8133</v>
      </c>
      <c r="D8" s="672">
        <v>15</v>
      </c>
    </row>
    <row r="9" spans="1:4" ht="15.75" thickBot="1">
      <c r="A9" s="523" t="s">
        <v>1501</v>
      </c>
      <c r="B9" s="697" t="s">
        <v>358</v>
      </c>
      <c r="C9" s="360">
        <v>8134</v>
      </c>
      <c r="D9" s="672">
        <v>15</v>
      </c>
    </row>
    <row r="10" spans="1:4" ht="15.75" thickBot="1">
      <c r="A10" s="523" t="s">
        <v>271</v>
      </c>
      <c r="B10" s="697" t="s">
        <v>358</v>
      </c>
      <c r="C10" s="360">
        <v>8135</v>
      </c>
      <c r="D10" s="672">
        <v>10</v>
      </c>
    </row>
    <row r="11" spans="1:4" ht="15.75" thickBot="1">
      <c r="A11" s="523" t="s">
        <v>1378</v>
      </c>
      <c r="B11" s="697" t="s">
        <v>358</v>
      </c>
      <c r="C11" s="360">
        <v>8136</v>
      </c>
      <c r="D11" s="672">
        <v>10</v>
      </c>
    </row>
    <row r="12" spans="1:4" ht="15.75" thickBot="1">
      <c r="A12" s="523" t="s">
        <v>822</v>
      </c>
      <c r="B12" s="697" t="s">
        <v>359</v>
      </c>
      <c r="C12" s="360">
        <v>8137</v>
      </c>
      <c r="D12" s="672">
        <v>2</v>
      </c>
    </row>
    <row r="13" spans="1:4" ht="15.75" thickBot="1">
      <c r="A13" s="523" t="s">
        <v>823</v>
      </c>
      <c r="B13" s="697" t="s">
        <v>360</v>
      </c>
      <c r="C13" s="360">
        <v>8138</v>
      </c>
      <c r="D13" s="672">
        <v>2</v>
      </c>
    </row>
    <row r="14" spans="1:4" ht="15.75" thickBot="1">
      <c r="A14" s="523" t="s">
        <v>1003</v>
      </c>
      <c r="B14" s="697" t="s">
        <v>1527</v>
      </c>
      <c r="C14" s="360">
        <v>7140</v>
      </c>
      <c r="D14" s="672">
        <v>50</v>
      </c>
    </row>
    <row r="15" spans="1:4" ht="15.75" thickBot="1">
      <c r="A15" s="523" t="s">
        <v>1004</v>
      </c>
      <c r="B15" s="697" t="s">
        <v>361</v>
      </c>
      <c r="C15" s="360">
        <v>7150</v>
      </c>
      <c r="D15" s="672">
        <v>10</v>
      </c>
    </row>
    <row r="16" spans="1:4" ht="13.5" customHeight="1" thickBot="1">
      <c r="A16" s="523" t="s">
        <v>1005</v>
      </c>
      <c r="B16" s="697" t="s">
        <v>901</v>
      </c>
      <c r="C16" s="360">
        <v>7160</v>
      </c>
      <c r="D16" s="672">
        <v>10</v>
      </c>
    </row>
    <row r="17" spans="1:4" ht="15.75" thickBot="1">
      <c r="A17" s="523" t="s">
        <v>447</v>
      </c>
      <c r="B17" s="697" t="s">
        <v>362</v>
      </c>
      <c r="C17" s="360">
        <v>8165</v>
      </c>
      <c r="D17" s="672">
        <v>0</v>
      </c>
    </row>
    <row r="18" spans="1:4" ht="15.75" thickBot="1">
      <c r="A18" s="523" t="s">
        <v>2909</v>
      </c>
      <c r="B18" s="697" t="s">
        <v>1201</v>
      </c>
      <c r="C18" s="360">
        <v>7170</v>
      </c>
      <c r="D18" s="672">
        <v>60</v>
      </c>
    </row>
    <row r="19" spans="1:4" ht="15.75" thickBot="1">
      <c r="A19" s="523" t="s">
        <v>446</v>
      </c>
      <c r="B19" s="697" t="s">
        <v>363</v>
      </c>
      <c r="C19" s="428">
        <v>7180</v>
      </c>
      <c r="D19" s="672">
        <v>0</v>
      </c>
    </row>
    <row r="20" spans="1:4" ht="15.75" thickBot="1">
      <c r="A20" s="365" t="s">
        <v>1006</v>
      </c>
      <c r="B20" s="697" t="s">
        <v>364</v>
      </c>
      <c r="C20" s="548">
        <v>7199</v>
      </c>
      <c r="D20" s="1080">
        <f>D5+D14+D15-D16</f>
        <v>150</v>
      </c>
    </row>
    <row r="21" spans="1:4" ht="18" thickBot="1">
      <c r="A21" s="365" t="s">
        <v>2910</v>
      </c>
      <c r="B21" s="697" t="s">
        <v>365</v>
      </c>
      <c r="C21" s="548">
        <v>7299</v>
      </c>
      <c r="D21" s="1080">
        <f>D22+D23-D24-D25+D26+D27+D28</f>
        <v>60</v>
      </c>
    </row>
    <row r="22" spans="1:4" ht="15.75" thickBot="1">
      <c r="A22" s="543" t="s">
        <v>267</v>
      </c>
      <c r="B22" s="697" t="s">
        <v>366</v>
      </c>
      <c r="C22" s="342">
        <v>7300</v>
      </c>
      <c r="D22" s="672">
        <v>20</v>
      </c>
    </row>
    <row r="23" spans="1:4" ht="15.75" thickBot="1">
      <c r="A23" s="543" t="s">
        <v>268</v>
      </c>
      <c r="B23" s="697" t="s">
        <v>367</v>
      </c>
      <c r="C23" s="360">
        <v>7310</v>
      </c>
      <c r="D23" s="672">
        <v>20</v>
      </c>
    </row>
    <row r="24" spans="1:4" ht="15.75" thickBot="1">
      <c r="A24" s="543" t="s">
        <v>913</v>
      </c>
      <c r="B24" s="697" t="s">
        <v>368</v>
      </c>
      <c r="C24" s="360">
        <v>7320</v>
      </c>
      <c r="D24" s="672">
        <v>20</v>
      </c>
    </row>
    <row r="25" spans="1:4" ht="15.75" thickBot="1">
      <c r="A25" s="557" t="s">
        <v>1758</v>
      </c>
      <c r="B25" s="698" t="s">
        <v>369</v>
      </c>
      <c r="C25" s="360">
        <v>7330</v>
      </c>
      <c r="D25" s="671">
        <v>20</v>
      </c>
    </row>
    <row r="26" spans="1:4" ht="15.75" thickBot="1">
      <c r="A26" s="543" t="s">
        <v>914</v>
      </c>
      <c r="B26" s="697" t="s">
        <v>370</v>
      </c>
      <c r="C26" s="360">
        <v>7340</v>
      </c>
      <c r="D26" s="672">
        <v>20</v>
      </c>
    </row>
    <row r="27" spans="1:4" ht="15.75" thickBot="1">
      <c r="A27" s="543" t="s">
        <v>915</v>
      </c>
      <c r="B27" s="697" t="s">
        <v>371</v>
      </c>
      <c r="C27" s="360">
        <v>7350</v>
      </c>
      <c r="D27" s="672">
        <v>20</v>
      </c>
    </row>
    <row r="28" spans="1:4" ht="15.75" thickBot="1">
      <c r="A28" s="543" t="s">
        <v>1744</v>
      </c>
      <c r="B28" s="697" t="s">
        <v>372</v>
      </c>
      <c r="C28" s="360">
        <v>7360</v>
      </c>
      <c r="D28" s="672">
        <v>20</v>
      </c>
    </row>
    <row r="29" spans="1:4" ht="30.75" thickBot="1">
      <c r="A29" s="523" t="s">
        <v>1379</v>
      </c>
      <c r="B29" s="697" t="s">
        <v>373</v>
      </c>
      <c r="C29" s="360">
        <v>8365</v>
      </c>
      <c r="D29" s="672">
        <v>0</v>
      </c>
    </row>
    <row r="30" spans="1:4" ht="15.75" thickBot="1">
      <c r="A30" s="551" t="s">
        <v>1380</v>
      </c>
      <c r="B30" s="697"/>
      <c r="C30" s="360"/>
      <c r="D30" s="1097"/>
    </row>
    <row r="31" spans="1:4" ht="15.75" thickBot="1">
      <c r="A31" s="523" t="s">
        <v>1746</v>
      </c>
      <c r="B31" s="697" t="s">
        <v>374</v>
      </c>
      <c r="C31" s="360">
        <v>7370</v>
      </c>
      <c r="D31" s="672">
        <v>15</v>
      </c>
    </row>
    <row r="32" spans="1:4" ht="15.75" thickBot="1">
      <c r="A32" s="523" t="s">
        <v>1747</v>
      </c>
      <c r="B32" s="697" t="s">
        <v>375</v>
      </c>
      <c r="C32" s="360">
        <v>7380</v>
      </c>
      <c r="D32" s="672">
        <v>15</v>
      </c>
    </row>
    <row r="33" spans="1:4" ht="30.75" thickBot="1">
      <c r="A33" s="523" t="s">
        <v>1381</v>
      </c>
      <c r="B33" s="697" t="s">
        <v>376</v>
      </c>
      <c r="C33" s="360">
        <v>8385</v>
      </c>
      <c r="D33" s="672">
        <v>50</v>
      </c>
    </row>
    <row r="34" spans="1:4" ht="15.75" thickBot="1">
      <c r="A34" s="523" t="s">
        <v>1382</v>
      </c>
      <c r="B34" s="697" t="s">
        <v>377</v>
      </c>
      <c r="C34" s="360">
        <v>8387</v>
      </c>
      <c r="D34" s="672">
        <v>10</v>
      </c>
    </row>
    <row r="35" spans="1:4" ht="15.75" thickBot="1">
      <c r="A35" s="365" t="s">
        <v>1748</v>
      </c>
      <c r="B35" s="699" t="s">
        <v>378</v>
      </c>
      <c r="C35" s="360">
        <v>7390</v>
      </c>
      <c r="D35" s="672" t="s">
        <v>909</v>
      </c>
    </row>
    <row r="36" spans="1:4" ht="15.75" thickBot="1">
      <c r="A36" s="543" t="s">
        <v>1749</v>
      </c>
      <c r="B36" s="697" t="s">
        <v>378</v>
      </c>
      <c r="C36" s="360">
        <v>7400</v>
      </c>
      <c r="D36" s="672">
        <v>10</v>
      </c>
    </row>
    <row r="37" spans="1:4" ht="15.75" thickBot="1">
      <c r="A37" s="523" t="s">
        <v>1383</v>
      </c>
      <c r="B37" s="697" t="s">
        <v>379</v>
      </c>
      <c r="C37" s="360">
        <v>7410</v>
      </c>
      <c r="D37" s="672">
        <v>20</v>
      </c>
    </row>
    <row r="38" spans="1:4" ht="15.75" thickBot="1">
      <c r="A38" s="523" t="s">
        <v>1384</v>
      </c>
      <c r="B38" s="697" t="s">
        <v>380</v>
      </c>
      <c r="C38" s="360">
        <v>8415</v>
      </c>
      <c r="D38" s="349">
        <v>20</v>
      </c>
    </row>
    <row r="39" spans="1:4" ht="15.75" thickBot="1">
      <c r="A39" s="523" t="s">
        <v>1385</v>
      </c>
      <c r="B39" s="697" t="s">
        <v>381</v>
      </c>
      <c r="C39" s="360">
        <v>8420</v>
      </c>
      <c r="D39" s="349">
        <v>20</v>
      </c>
    </row>
    <row r="40" spans="1:4" ht="15.75" thickBot="1">
      <c r="A40" s="523" t="s">
        <v>1386</v>
      </c>
      <c r="B40" s="697" t="s">
        <v>382</v>
      </c>
      <c r="C40" s="360">
        <v>8425</v>
      </c>
      <c r="D40" s="349">
        <v>20</v>
      </c>
    </row>
    <row r="41" spans="1:4" ht="15.75" thickBot="1">
      <c r="A41" s="523" t="s">
        <v>1387</v>
      </c>
      <c r="B41" s="697" t="s">
        <v>379</v>
      </c>
      <c r="C41" s="360">
        <v>8430</v>
      </c>
      <c r="D41" s="349">
        <v>30</v>
      </c>
    </row>
    <row r="42" spans="1:4" ht="15.75" thickBot="1">
      <c r="A42" s="523" t="s">
        <v>1388</v>
      </c>
      <c r="B42" s="697" t="s">
        <v>383</v>
      </c>
      <c r="C42" s="360">
        <v>7440</v>
      </c>
      <c r="D42" s="672">
        <v>10</v>
      </c>
    </row>
    <row r="43" spans="1:4" ht="15.75" thickBot="1">
      <c r="A43" s="523" t="s">
        <v>1389</v>
      </c>
      <c r="B43" s="697" t="s">
        <v>383</v>
      </c>
      <c r="C43" s="360">
        <v>7450</v>
      </c>
      <c r="D43" s="672">
        <v>10</v>
      </c>
    </row>
    <row r="44" spans="1:4" ht="15.75" thickBot="1">
      <c r="A44" s="523" t="s">
        <v>1390</v>
      </c>
      <c r="B44" s="697" t="s">
        <v>384</v>
      </c>
      <c r="C44" s="360">
        <v>7460</v>
      </c>
      <c r="D44" s="672">
        <v>10</v>
      </c>
    </row>
    <row r="45" spans="1:4" ht="15.75" thickBot="1">
      <c r="A45" s="523" t="s">
        <v>1391</v>
      </c>
      <c r="B45" s="697" t="s">
        <v>381</v>
      </c>
      <c r="C45" s="360">
        <v>8465</v>
      </c>
      <c r="D45" s="672">
        <v>10</v>
      </c>
    </row>
    <row r="46" spans="1:4" s="12" customFormat="1" ht="15.75" thickBot="1">
      <c r="A46" s="523" t="s">
        <v>1392</v>
      </c>
      <c r="B46" s="697" t="s">
        <v>385</v>
      </c>
      <c r="C46" s="360">
        <v>7470</v>
      </c>
      <c r="D46" s="672">
        <v>30</v>
      </c>
    </row>
    <row r="47" spans="1:4" s="12" customFormat="1" ht="15.75" thickBot="1">
      <c r="A47" s="523" t="s">
        <v>1393</v>
      </c>
      <c r="B47" s="697" t="s">
        <v>378</v>
      </c>
      <c r="C47" s="360">
        <v>7480</v>
      </c>
      <c r="D47" s="1080">
        <f>D36-D37+D38+D39+D40+D41+D42-D43+D44+D45+D46</f>
        <v>130</v>
      </c>
    </row>
    <row r="48" spans="1:4" s="12" customFormat="1" ht="15.75" thickBot="1">
      <c r="A48" s="280" t="s">
        <v>1750</v>
      </c>
      <c r="B48" s="700" t="s">
        <v>386</v>
      </c>
      <c r="C48" s="360">
        <v>7520</v>
      </c>
      <c r="D48" s="1098" t="s">
        <v>909</v>
      </c>
    </row>
    <row r="49" spans="1:9" s="12" customFormat="1" ht="15.75" thickBot="1">
      <c r="A49" s="543" t="s">
        <v>1751</v>
      </c>
      <c r="B49" s="697" t="s">
        <v>387</v>
      </c>
      <c r="C49" s="360">
        <v>7530</v>
      </c>
      <c r="D49" s="672" t="s">
        <v>980</v>
      </c>
    </row>
    <row r="50" spans="1:9" s="12" customFormat="1" ht="15.75" thickBot="1">
      <c r="A50" s="543" t="s">
        <v>1752</v>
      </c>
      <c r="B50" s="697" t="s">
        <v>388</v>
      </c>
      <c r="C50" s="360">
        <v>7540</v>
      </c>
      <c r="D50" s="672">
        <v>500</v>
      </c>
    </row>
    <row r="51" spans="1:9" s="12" customFormat="1" ht="15.75" thickBot="1">
      <c r="A51" s="543" t="s">
        <v>1753</v>
      </c>
      <c r="B51" s="697" t="s">
        <v>389</v>
      </c>
      <c r="C51" s="360">
        <v>7550</v>
      </c>
      <c r="D51" s="672">
        <v>0.5</v>
      </c>
    </row>
    <row r="52" spans="1:9" ht="15.75" thickBot="1">
      <c r="A52" s="543" t="s">
        <v>1754</v>
      </c>
      <c r="B52" s="697" t="s">
        <v>740</v>
      </c>
      <c r="C52" s="360">
        <v>7560</v>
      </c>
      <c r="D52" s="672">
        <v>200</v>
      </c>
    </row>
    <row r="53" spans="1:9" ht="15.75" thickBot="1">
      <c r="A53" s="543" t="s">
        <v>1755</v>
      </c>
      <c r="B53" s="697" t="s">
        <v>390</v>
      </c>
      <c r="C53" s="360">
        <v>7570</v>
      </c>
      <c r="D53" s="672">
        <v>0.5</v>
      </c>
    </row>
    <row r="54" spans="1:9" ht="15.75" thickBot="1">
      <c r="A54" s="543" t="s">
        <v>1756</v>
      </c>
      <c r="B54" s="701" t="s">
        <v>391</v>
      </c>
      <c r="C54" s="360">
        <v>7580</v>
      </c>
      <c r="D54" s="372">
        <v>0.5</v>
      </c>
    </row>
    <row r="55" spans="1:9" ht="15.75" thickBot="1">
      <c r="A55" s="688" t="s">
        <v>2062</v>
      </c>
      <c r="B55" s="702" t="s">
        <v>392</v>
      </c>
      <c r="C55" s="428">
        <v>7590</v>
      </c>
      <c r="D55" s="689" t="s">
        <v>980</v>
      </c>
    </row>
    <row r="56" spans="1:9" ht="15">
      <c r="A56" s="141"/>
      <c r="B56" s="703"/>
      <c r="C56" s="690"/>
      <c r="D56" s="142"/>
      <c r="E56" s="279"/>
    </row>
    <row r="57" spans="1:9" ht="15.75" thickBot="1">
      <c r="A57" s="141"/>
      <c r="B57" s="704"/>
      <c r="C57" s="542"/>
    </row>
    <row r="58" spans="1:9" ht="32.25" thickBot="1">
      <c r="A58" s="279"/>
      <c r="B58" s="271" t="s">
        <v>137</v>
      </c>
      <c r="C58" s="246"/>
      <c r="D58" s="695" t="s">
        <v>1521</v>
      </c>
      <c r="E58" s="691" t="s">
        <v>1522</v>
      </c>
    </row>
    <row r="59" spans="1:9" ht="15.75" thickBot="1">
      <c r="A59" s="55" t="s">
        <v>1520</v>
      </c>
      <c r="B59" s="705" t="s">
        <v>393</v>
      </c>
      <c r="C59" s="246" t="s">
        <v>1012</v>
      </c>
      <c r="D59" s="247" t="s">
        <v>1013</v>
      </c>
      <c r="E59" s="696" t="s">
        <v>1014</v>
      </c>
    </row>
    <row r="60" spans="1:9" ht="15.75" thickBot="1">
      <c r="A60" s="693" t="s">
        <v>1523</v>
      </c>
      <c r="B60" s="704" t="s">
        <v>394</v>
      </c>
      <c r="C60" s="360">
        <v>8610</v>
      </c>
      <c r="D60" s="113">
        <v>15</v>
      </c>
      <c r="E60" s="114">
        <v>15</v>
      </c>
    </row>
    <row r="61" spans="1:9" ht="15.75" thickBot="1">
      <c r="A61" s="694" t="s">
        <v>1524</v>
      </c>
      <c r="B61" s="704" t="s">
        <v>395</v>
      </c>
      <c r="C61" s="428">
        <v>8620</v>
      </c>
      <c r="D61" s="388">
        <v>15</v>
      </c>
      <c r="E61" s="67">
        <v>15</v>
      </c>
    </row>
    <row r="62" spans="1:9" ht="18">
      <c r="A62" s="657" t="s">
        <v>230</v>
      </c>
      <c r="B62" s="279"/>
      <c r="C62" s="279"/>
      <c r="D62" s="279"/>
      <c r="E62" s="279"/>
    </row>
    <row r="63" spans="1:9" ht="18">
      <c r="A63" s="657" t="s">
        <v>2908</v>
      </c>
      <c r="B63" s="95"/>
      <c r="C63" s="95"/>
      <c r="D63" s="95"/>
      <c r="F63" s="97"/>
      <c r="G63" s="95"/>
      <c r="H63" s="95"/>
      <c r="I63" s="18"/>
    </row>
    <row r="64" spans="1:9" s="1134" customFormat="1" ht="13.5">
      <c r="B64" s="1141"/>
      <c r="C64" s="1141"/>
      <c r="D64" s="1142"/>
      <c r="F64" s="1143"/>
      <c r="G64" s="1141"/>
      <c r="H64" s="1141"/>
      <c r="I64" s="1144"/>
    </row>
    <row r="65" spans="1:9" s="1134" customFormat="1" ht="13.5">
      <c r="A65" s="1145"/>
      <c r="B65" s="1141">
        <v>30</v>
      </c>
      <c r="C65" s="1141" t="b">
        <f>D5=D6-D7</f>
        <v>1</v>
      </c>
      <c r="D65" s="1142" t="s">
        <v>1696</v>
      </c>
      <c r="F65" s="1144"/>
      <c r="G65" s="1144"/>
      <c r="H65" s="1144"/>
      <c r="I65" s="1144"/>
    </row>
    <row r="66" spans="1:9" s="1134" customFormat="1" ht="15.75">
      <c r="A66" s="1145"/>
      <c r="B66" s="1141">
        <v>60</v>
      </c>
      <c r="C66" s="1141" t="b">
        <f>D7=D8+D9+D10+D11</f>
        <v>1</v>
      </c>
      <c r="D66" s="1142" t="s">
        <v>1697</v>
      </c>
      <c r="F66" s="1146"/>
      <c r="G66" s="1144"/>
      <c r="H66" s="1144"/>
      <c r="I66" s="1144"/>
    </row>
    <row r="67" spans="1:9" s="1134" customFormat="1" ht="15.75">
      <c r="A67" s="1145"/>
      <c r="B67" s="1141">
        <v>70</v>
      </c>
      <c r="C67" s="1141" t="b">
        <f>D21=D22+D23-D24-D25+D26+D27+D28+D29</f>
        <v>1</v>
      </c>
      <c r="D67" s="1142" t="s">
        <v>448</v>
      </c>
      <c r="F67" s="1146"/>
      <c r="G67" s="1144"/>
      <c r="H67" s="1144"/>
      <c r="I67" s="1144"/>
    </row>
    <row r="68" spans="1:9" s="1134" customFormat="1" ht="13.5">
      <c r="A68" s="1147"/>
      <c r="B68" s="1141"/>
      <c r="C68" s="1144"/>
      <c r="D68" s="1148"/>
    </row>
    <row r="69" spans="1:9">
      <c r="A69" s="112"/>
      <c r="B69" s="94"/>
      <c r="C69" s="94"/>
      <c r="D69" s="815"/>
    </row>
    <row r="70" spans="1:9">
      <c r="A70" s="112"/>
      <c r="B70" s="94"/>
      <c r="C70" s="95"/>
      <c r="D70" s="815"/>
    </row>
    <row r="71" spans="1:9">
      <c r="A71" s="94"/>
      <c r="B71" s="95"/>
      <c r="C71" s="95"/>
      <c r="D71" s="815"/>
    </row>
    <row r="72" spans="1:9">
      <c r="A72" s="97"/>
      <c r="B72" s="95"/>
      <c r="C72" s="95"/>
      <c r="D72" s="815"/>
    </row>
    <row r="73" spans="1:9">
      <c r="A73" s="97"/>
      <c r="B73" s="95"/>
      <c r="C73" s="95"/>
      <c r="D73" s="815"/>
    </row>
    <row r="74" spans="1:9">
      <c r="A74" s="97"/>
      <c r="B74" s="95"/>
      <c r="C74" s="95"/>
      <c r="D74" s="815"/>
    </row>
    <row r="75" spans="1:9">
      <c r="A75" s="97"/>
      <c r="B75" s="95"/>
      <c r="C75" s="95"/>
      <c r="D75" s="815"/>
    </row>
    <row r="76" spans="1:9" ht="14.25" customHeight="1">
      <c r="A76" s="97"/>
      <c r="B76" s="95"/>
      <c r="C76" s="95"/>
      <c r="D76" s="815"/>
    </row>
    <row r="77" spans="1:9" ht="29.25" customHeight="1">
      <c r="A77" s="97"/>
      <c r="B77" s="95"/>
      <c r="C77" s="95"/>
      <c r="D77" s="815"/>
    </row>
    <row r="78" spans="1:9" ht="29.25" customHeight="1">
      <c r="A78" s="97"/>
      <c r="B78" s="95"/>
      <c r="C78" s="95"/>
      <c r="D78" s="815"/>
    </row>
    <row r="79" spans="1:9">
      <c r="A79" s="97"/>
      <c r="B79" s="95"/>
      <c r="C79" s="95"/>
      <c r="D79" s="815"/>
    </row>
    <row r="80" spans="1:9">
      <c r="A80" s="97"/>
      <c r="B80" s="95"/>
      <c r="C80" s="95"/>
      <c r="D80" s="815"/>
    </row>
    <row r="81" spans="1:4">
      <c r="A81" s="97"/>
      <c r="B81" s="95"/>
      <c r="C81" s="95"/>
      <c r="D81" s="815"/>
    </row>
    <row r="82" spans="1:4">
      <c r="A82" s="97"/>
      <c r="B82" s="95"/>
      <c r="C82" s="95"/>
      <c r="D82" s="815"/>
    </row>
    <row r="83" spans="1:4">
      <c r="A83" s="97"/>
      <c r="B83" s="95"/>
      <c r="C83" s="95"/>
      <c r="D83" s="815"/>
    </row>
    <row r="84" spans="1:4">
      <c r="A84" s="97"/>
      <c r="B84" s="95"/>
      <c r="C84" s="95"/>
      <c r="D84" s="815"/>
    </row>
    <row r="85" spans="1:4">
      <c r="A85" s="97"/>
      <c r="B85" s="95"/>
      <c r="C85" s="95"/>
      <c r="D85" s="815"/>
    </row>
    <row r="86" spans="1:4">
      <c r="A86" s="97"/>
      <c r="B86" s="95"/>
      <c r="C86" s="95"/>
      <c r="D86" s="815"/>
    </row>
    <row r="87" spans="1:4">
      <c r="A87" s="94"/>
      <c r="B87" s="95"/>
      <c r="C87" s="93"/>
      <c r="D87" s="815"/>
    </row>
    <row r="88" spans="1:4">
      <c r="A88" s="94"/>
      <c r="B88" s="95"/>
      <c r="C88" s="93"/>
      <c r="D88" s="815"/>
    </row>
    <row r="89" spans="1:4">
      <c r="A89" s="97"/>
      <c r="B89" s="95"/>
      <c r="C89" s="95"/>
      <c r="D89" s="815"/>
    </row>
    <row r="90" spans="1:4">
      <c r="A90" s="97"/>
      <c r="B90" s="95"/>
      <c r="C90" s="95"/>
      <c r="D90" s="815"/>
    </row>
    <row r="91" spans="1:4">
      <c r="A91" s="97"/>
      <c r="B91" s="95"/>
      <c r="C91" s="95"/>
      <c r="D91" s="815"/>
    </row>
    <row r="92" spans="1:4">
      <c r="A92" s="97"/>
      <c r="B92" s="97"/>
      <c r="C92" s="95"/>
      <c r="D92" s="815"/>
    </row>
    <row r="93" spans="1:4">
      <c r="A93" s="97"/>
      <c r="B93" s="95"/>
      <c r="C93" s="95"/>
      <c r="D93" s="815"/>
    </row>
    <row r="94" spans="1:4">
      <c r="A94" s="97"/>
      <c r="B94" s="95"/>
      <c r="C94" s="95"/>
      <c r="D94" s="815"/>
    </row>
    <row r="95" spans="1:4">
      <c r="A95" s="97"/>
      <c r="B95" s="95"/>
      <c r="C95" s="95"/>
      <c r="D95" s="815"/>
    </row>
    <row r="96" spans="1:4">
      <c r="A96" s="97"/>
      <c r="B96" s="95"/>
      <c r="C96" s="95"/>
      <c r="D96" s="815"/>
    </row>
    <row r="97" spans="1:4">
      <c r="A97" s="97"/>
      <c r="B97" s="95"/>
      <c r="C97" s="95"/>
      <c r="D97" s="815"/>
    </row>
    <row r="98" spans="1:4">
      <c r="A98" s="97"/>
      <c r="B98" s="95"/>
      <c r="C98" s="95"/>
      <c r="D98" s="815"/>
    </row>
    <row r="99" spans="1:4">
      <c r="A99" s="97"/>
      <c r="B99" s="95"/>
      <c r="C99" s="95"/>
      <c r="D99" s="815"/>
    </row>
    <row r="100" spans="1:4">
      <c r="A100" s="97"/>
      <c r="B100" s="95"/>
      <c r="C100" s="95"/>
      <c r="D100" s="815"/>
    </row>
    <row r="101" spans="1:4">
      <c r="A101" s="97"/>
      <c r="B101" s="95"/>
      <c r="C101" s="95"/>
      <c r="D101" s="815"/>
    </row>
    <row r="102" spans="1:4">
      <c r="A102" s="94"/>
      <c r="B102" s="93"/>
      <c r="C102" s="95"/>
      <c r="D102" s="815"/>
    </row>
    <row r="103" spans="1:4">
      <c r="A103" s="97"/>
      <c r="B103" s="95"/>
      <c r="C103" s="95"/>
      <c r="D103" s="815"/>
    </row>
    <row r="104" spans="1:4">
      <c r="A104" s="97"/>
      <c r="B104" s="95"/>
      <c r="C104" s="95"/>
      <c r="D104" s="815"/>
    </row>
    <row r="105" spans="1:4">
      <c r="A105" s="97"/>
      <c r="B105" s="95"/>
      <c r="C105" s="95"/>
      <c r="D105" s="815"/>
    </row>
    <row r="106" spans="1:4">
      <c r="A106" s="97"/>
      <c r="B106" s="95"/>
      <c r="C106" s="95"/>
      <c r="D106" s="815"/>
    </row>
    <row r="107" spans="1:4">
      <c r="A107" s="97"/>
      <c r="B107" s="95"/>
      <c r="C107" s="95"/>
      <c r="D107" s="815"/>
    </row>
    <row r="108" spans="1:4">
      <c r="A108" s="97"/>
      <c r="B108" s="95"/>
      <c r="C108" s="95"/>
      <c r="D108" s="815"/>
    </row>
    <row r="109" spans="1:4">
      <c r="A109" s="97"/>
      <c r="B109" s="95"/>
      <c r="C109" s="95"/>
      <c r="D109" s="815"/>
    </row>
    <row r="110" spans="1:4">
      <c r="A110" s="97"/>
      <c r="B110" s="95"/>
      <c r="C110" s="95"/>
      <c r="D110" s="815"/>
    </row>
    <row r="111" spans="1:4">
      <c r="A111" s="97"/>
      <c r="B111" s="95"/>
      <c r="C111" s="95"/>
      <c r="D111" s="815"/>
    </row>
    <row r="112" spans="1:4">
      <c r="A112" s="97"/>
      <c r="B112" s="95"/>
      <c r="C112" s="95"/>
      <c r="D112" s="815"/>
    </row>
    <row r="113" spans="1:4">
      <c r="A113" s="97"/>
      <c r="B113" s="95"/>
      <c r="C113" s="95"/>
      <c r="D113" s="815"/>
    </row>
    <row r="114" spans="1:4">
      <c r="A114" s="97"/>
      <c r="B114" s="95"/>
      <c r="C114" s="95"/>
      <c r="D114" s="815"/>
    </row>
    <row r="115" spans="1:4">
      <c r="A115" s="94"/>
      <c r="B115" s="93"/>
      <c r="C115" s="95"/>
      <c r="D115" s="815"/>
    </row>
    <row r="116" spans="1:4">
      <c r="A116" s="97"/>
      <c r="B116" s="95"/>
      <c r="C116" s="95"/>
      <c r="D116" s="815"/>
    </row>
    <row r="117" spans="1:4">
      <c r="A117" s="97"/>
      <c r="B117" s="95"/>
      <c r="C117" s="95"/>
      <c r="D117" s="815"/>
    </row>
    <row r="118" spans="1:4">
      <c r="A118" s="97"/>
      <c r="B118" s="95"/>
      <c r="C118" s="95"/>
      <c r="D118" s="815"/>
    </row>
    <row r="119" spans="1:4">
      <c r="A119" s="97"/>
      <c r="B119" s="95"/>
      <c r="C119" s="95"/>
      <c r="D119" s="815"/>
    </row>
    <row r="120" spans="1:4">
      <c r="A120" s="97"/>
      <c r="B120" s="95"/>
      <c r="C120" s="95"/>
      <c r="D120" s="815"/>
    </row>
    <row r="121" spans="1:4">
      <c r="A121" s="97"/>
      <c r="B121" s="95"/>
      <c r="C121" s="95"/>
      <c r="D121" s="815"/>
    </row>
    <row r="122" spans="1:4">
      <c r="A122" s="97"/>
      <c r="B122" s="95"/>
      <c r="C122" s="95"/>
      <c r="D122" s="815"/>
    </row>
    <row r="123" spans="1:4">
      <c r="A123" s="97"/>
      <c r="B123" s="95"/>
      <c r="C123" s="95"/>
      <c r="D123" s="815"/>
    </row>
    <row r="124" spans="1:4">
      <c r="A124" s="97"/>
      <c r="B124" s="95"/>
      <c r="C124" s="95"/>
      <c r="D124" s="815"/>
    </row>
    <row r="125" spans="1:4">
      <c r="A125" s="94"/>
      <c r="B125" s="95"/>
      <c r="C125" s="95"/>
      <c r="D125" s="815"/>
    </row>
    <row r="126" spans="1:4">
      <c r="A126" s="97"/>
      <c r="B126" s="95"/>
      <c r="C126" s="95"/>
      <c r="D126" s="815"/>
    </row>
    <row r="127" spans="1:4">
      <c r="A127" s="97"/>
      <c r="B127" s="95"/>
      <c r="C127" s="95"/>
      <c r="D127" s="815"/>
    </row>
    <row r="128" spans="1:4">
      <c r="A128" s="18"/>
      <c r="B128" s="18"/>
      <c r="C128" s="18"/>
      <c r="D128" s="815"/>
    </row>
    <row r="129" spans="1:4" ht="14.25">
      <c r="A129" s="21"/>
      <c r="D129" s="815"/>
    </row>
    <row r="130" spans="1:4" ht="14.25">
      <c r="A130" s="21"/>
      <c r="D130" s="815"/>
    </row>
    <row r="131" spans="1:4">
      <c r="D131" s="815"/>
    </row>
    <row r="132" spans="1:4">
      <c r="D132" s="815"/>
    </row>
    <row r="133" spans="1:4">
      <c r="D133" s="815"/>
    </row>
    <row r="134" spans="1:4">
      <c r="D134" s="815"/>
    </row>
    <row r="135" spans="1:4">
      <c r="D135" s="815"/>
    </row>
    <row r="136" spans="1:4">
      <c r="D136" s="815"/>
    </row>
    <row r="137" spans="1:4">
      <c r="D137" s="815"/>
    </row>
    <row r="138" spans="1:4">
      <c r="D138" s="815"/>
    </row>
    <row r="139" spans="1:4">
      <c r="D139" s="815"/>
    </row>
    <row r="140" spans="1:4">
      <c r="D140" s="815"/>
    </row>
    <row r="141" spans="1:4">
      <c r="D141" s="815"/>
    </row>
    <row r="142" spans="1:4">
      <c r="D142" s="815"/>
    </row>
    <row r="143" spans="1:4">
      <c r="D143" s="815"/>
    </row>
    <row r="144" spans="1:4">
      <c r="D144" s="815"/>
    </row>
    <row r="145" spans="4:4">
      <c r="D145" s="815"/>
    </row>
    <row r="146" spans="4:4">
      <c r="D146" s="815"/>
    </row>
    <row r="147" spans="4:4">
      <c r="D147" s="815"/>
    </row>
    <row r="148" spans="4:4">
      <c r="D148" s="815"/>
    </row>
    <row r="149" spans="4:4">
      <c r="D149" s="815"/>
    </row>
    <row r="150" spans="4:4">
      <c r="D150" s="815"/>
    </row>
    <row r="151" spans="4:4">
      <c r="D151" s="815"/>
    </row>
    <row r="152" spans="4:4">
      <c r="D152" s="815"/>
    </row>
    <row r="153" spans="4:4">
      <c r="D153" s="815"/>
    </row>
    <row r="154" spans="4:4">
      <c r="D154" s="815"/>
    </row>
    <row r="155" spans="4:4">
      <c r="D155" s="815"/>
    </row>
    <row r="156" spans="4:4">
      <c r="D156" s="815"/>
    </row>
    <row r="157" spans="4:4">
      <c r="D157" s="815"/>
    </row>
    <row r="158" spans="4:4">
      <c r="D158" s="815"/>
    </row>
    <row r="159" spans="4:4">
      <c r="D159" s="815"/>
    </row>
    <row r="160" spans="4:4">
      <c r="D160" s="815"/>
    </row>
    <row r="161" spans="4:4">
      <c r="D161" s="815"/>
    </row>
    <row r="162" spans="4:4">
      <c r="D162" s="815"/>
    </row>
    <row r="163" spans="4:4">
      <c r="D163" s="815"/>
    </row>
    <row r="164" spans="4:4">
      <c r="D164" s="815"/>
    </row>
    <row r="165" spans="4:4">
      <c r="D165" s="815"/>
    </row>
    <row r="166" spans="4:4">
      <c r="D166" s="815"/>
    </row>
    <row r="167" spans="4:4">
      <c r="D167" s="815"/>
    </row>
    <row r="168" spans="4:4">
      <c r="D168" s="815"/>
    </row>
    <row r="169" spans="4:4">
      <c r="D169" s="815"/>
    </row>
    <row r="170" spans="4:4">
      <c r="D170" s="815"/>
    </row>
    <row r="171" spans="4:4">
      <c r="D171" s="815"/>
    </row>
    <row r="172" spans="4:4">
      <c r="D172" s="815"/>
    </row>
    <row r="173" spans="4:4">
      <c r="D173" s="815"/>
    </row>
    <row r="174" spans="4:4">
      <c r="D174" s="815"/>
    </row>
    <row r="175" spans="4:4">
      <c r="D175" s="815"/>
    </row>
    <row r="176" spans="4:4">
      <c r="D176" s="815"/>
    </row>
    <row r="177" spans="4:4">
      <c r="D177" s="815"/>
    </row>
    <row r="178" spans="4:4">
      <c r="D178" s="815"/>
    </row>
    <row r="179" spans="4:4">
      <c r="D179" s="815"/>
    </row>
    <row r="180" spans="4:4">
      <c r="D180" s="815"/>
    </row>
    <row r="181" spans="4:4">
      <c r="D181" s="815"/>
    </row>
    <row r="182" spans="4:4">
      <c r="D182" s="815"/>
    </row>
    <row r="183" spans="4:4">
      <c r="D183" s="815"/>
    </row>
    <row r="184" spans="4:4">
      <c r="D184" s="815"/>
    </row>
    <row r="185" spans="4:4">
      <c r="D185" s="815"/>
    </row>
    <row r="186" spans="4:4">
      <c r="D186" s="815"/>
    </row>
    <row r="187" spans="4:4">
      <c r="D187" s="815"/>
    </row>
    <row r="188" spans="4:4">
      <c r="D188" s="815"/>
    </row>
    <row r="189" spans="4:4">
      <c r="D189" s="815"/>
    </row>
    <row r="190" spans="4:4">
      <c r="D190" s="815"/>
    </row>
    <row r="191" spans="4:4">
      <c r="D191" s="815"/>
    </row>
    <row r="192" spans="4:4">
      <c r="D192" s="815"/>
    </row>
    <row r="193" spans="4:4">
      <c r="D193" s="815"/>
    </row>
    <row r="194" spans="4:4">
      <c r="D194" s="815"/>
    </row>
    <row r="195" spans="4:4">
      <c r="D195" s="815"/>
    </row>
    <row r="196" spans="4:4">
      <c r="D196" s="815"/>
    </row>
    <row r="197" spans="4:4">
      <c r="D197" s="815"/>
    </row>
    <row r="198" spans="4:4">
      <c r="D198" s="815"/>
    </row>
    <row r="199" spans="4:4">
      <c r="D199" s="815"/>
    </row>
    <row r="200" spans="4:4">
      <c r="D200" s="815"/>
    </row>
    <row r="201" spans="4:4">
      <c r="D201" s="815"/>
    </row>
    <row r="202" spans="4:4">
      <c r="D202" s="815"/>
    </row>
    <row r="203" spans="4:4">
      <c r="D203" s="815"/>
    </row>
    <row r="204" spans="4:4">
      <c r="D204" s="815"/>
    </row>
    <row r="205" spans="4:4">
      <c r="D205" s="815"/>
    </row>
    <row r="206" spans="4:4">
      <c r="D206" s="815"/>
    </row>
    <row r="207" spans="4:4">
      <c r="D207" s="815"/>
    </row>
    <row r="208" spans="4:4">
      <c r="D208" s="815"/>
    </row>
    <row r="209" spans="4:4">
      <c r="D209" s="815"/>
    </row>
    <row r="210" spans="4:4">
      <c r="D210" s="815"/>
    </row>
    <row r="211" spans="4:4">
      <c r="D211" s="815"/>
    </row>
    <row r="212" spans="4:4">
      <c r="D212" s="815"/>
    </row>
    <row r="213" spans="4:4">
      <c r="D213" s="815"/>
    </row>
    <row r="214" spans="4:4">
      <c r="D214" s="815"/>
    </row>
    <row r="215" spans="4:4">
      <c r="D215" s="815"/>
    </row>
    <row r="216" spans="4:4">
      <c r="D216" s="815"/>
    </row>
    <row r="217" spans="4:4">
      <c r="D217" s="815"/>
    </row>
    <row r="218" spans="4:4">
      <c r="D218" s="815"/>
    </row>
    <row r="219" spans="4:4">
      <c r="D219" s="815"/>
    </row>
    <row r="220" spans="4:4">
      <c r="D220" s="815"/>
    </row>
    <row r="221" spans="4:4">
      <c r="D221" s="815"/>
    </row>
    <row r="222" spans="4:4">
      <c r="D222" s="815"/>
    </row>
    <row r="223" spans="4:4">
      <c r="D223" s="815"/>
    </row>
    <row r="224" spans="4:4">
      <c r="D224" s="815"/>
    </row>
    <row r="225" spans="4:4">
      <c r="D225" s="815"/>
    </row>
    <row r="226" spans="4:4">
      <c r="D226" s="815"/>
    </row>
    <row r="227" spans="4:4">
      <c r="D227" s="815"/>
    </row>
    <row r="228" spans="4:4">
      <c r="D228" s="815"/>
    </row>
    <row r="229" spans="4:4">
      <c r="D229" s="815"/>
    </row>
    <row r="230" spans="4:4">
      <c r="D230" s="815"/>
    </row>
    <row r="231" spans="4:4">
      <c r="D231" s="815"/>
    </row>
    <row r="232" spans="4:4">
      <c r="D232" s="815"/>
    </row>
    <row r="233" spans="4:4">
      <c r="D233" s="815"/>
    </row>
    <row r="234" spans="4:4">
      <c r="D234" s="815"/>
    </row>
    <row r="235" spans="4:4">
      <c r="D235" s="815"/>
    </row>
    <row r="236" spans="4:4">
      <c r="D236" s="815"/>
    </row>
    <row r="237" spans="4:4">
      <c r="D237" s="815"/>
    </row>
  </sheetData>
  <customSheetViews>
    <customSheetView guid="{5D819D0C-25F7-408A-B978-F4F86F7655CA}" showPageBreaks="1" showRuler="0" topLeftCell="A13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A48" sqref="A4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 topLeftCell="A28">
      <selection activeCell="A48" sqref="A4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1.06" right="0.28000000000000003" top="1" bottom="1" header="0.5" footer="0.5"/>
  <pageSetup paperSize="8" scale="90" orientation="portrait" r:id="rId4"/>
  <headerFooter alignWithMargins="0">
    <oddHeader>&amp;C42.0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AD141"/>
  <sheetViews>
    <sheetView showGridLines="0" zoomScaleNormal="100" workbookViewId="0"/>
  </sheetViews>
  <sheetFormatPr defaultRowHeight="12.75"/>
  <cols>
    <col min="1" max="1" width="51.28515625" customWidth="1"/>
    <col min="2" max="2" width="10" customWidth="1"/>
    <col min="3" max="3" width="10.7109375" customWidth="1"/>
    <col min="4" max="5" width="10.5703125" customWidth="1"/>
    <col min="6" max="6" width="12.7109375" customWidth="1"/>
    <col min="7" max="7" width="7.7109375" customWidth="1"/>
    <col min="8" max="8" width="7.140625" bestFit="1" customWidth="1"/>
    <col min="9" max="9" width="4" bestFit="1" customWidth="1"/>
    <col min="10" max="24" width="62.7109375" customWidth="1"/>
    <col min="25" max="28" width="8.85546875" customWidth="1"/>
  </cols>
  <sheetData>
    <row r="1" spans="1:4" s="5" customFormat="1" ht="16.5" thickBot="1">
      <c r="A1" s="477" t="s">
        <v>2600</v>
      </c>
      <c r="B1" s="279"/>
      <c r="C1" s="279"/>
      <c r="D1" s="279"/>
    </row>
    <row r="2" spans="1:4" ht="16.5" thickBot="1">
      <c r="A2" s="729" t="s">
        <v>1759</v>
      </c>
      <c r="B2" s="706"/>
      <c r="C2" s="279"/>
      <c r="D2" s="279"/>
    </row>
    <row r="3" spans="1:4" ht="15.75" thickBot="1">
      <c r="A3" s="707"/>
      <c r="B3" s="708"/>
      <c r="C3" s="474" t="s">
        <v>1134</v>
      </c>
      <c r="D3" s="709" t="s">
        <v>1013</v>
      </c>
    </row>
    <row r="4" spans="1:4" ht="15.75" thickBot="1">
      <c r="A4" s="363" t="s">
        <v>1760</v>
      </c>
      <c r="B4" s="710" t="s">
        <v>1761</v>
      </c>
      <c r="C4" s="390">
        <v>7100</v>
      </c>
      <c r="D4" s="1071">
        <f>740</f>
        <v>740</v>
      </c>
    </row>
    <row r="5" spans="1:4" ht="30.75" thickBot="1">
      <c r="A5" s="712" t="s">
        <v>1762</v>
      </c>
      <c r="B5" s="710" t="s">
        <v>1763</v>
      </c>
      <c r="C5" s="392">
        <v>7105</v>
      </c>
      <c r="D5" s="1072">
        <f>-D6+D7+D8+D9+D11+D12+D13+D14+D15+D17+D18+D19</f>
        <v>79</v>
      </c>
    </row>
    <row r="6" spans="1:4" ht="30.75" thickBot="1">
      <c r="A6" s="713" t="s">
        <v>308</v>
      </c>
      <c r="B6" s="710" t="s">
        <v>309</v>
      </c>
      <c r="C6" s="392">
        <v>7110</v>
      </c>
      <c r="D6" s="1073">
        <v>50</v>
      </c>
    </row>
    <row r="7" spans="1:4" ht="30.75" thickBot="1">
      <c r="A7" s="713" t="s">
        <v>310</v>
      </c>
      <c r="B7" s="710" t="s">
        <v>309</v>
      </c>
      <c r="C7" s="392">
        <v>7115</v>
      </c>
      <c r="D7" s="1073">
        <v>150</v>
      </c>
    </row>
    <row r="8" spans="1:4" ht="15.75" thickBot="1">
      <c r="A8" s="713" t="s">
        <v>316</v>
      </c>
      <c r="B8" s="710" t="s">
        <v>309</v>
      </c>
      <c r="C8" s="392">
        <v>7120</v>
      </c>
      <c r="D8" s="1071">
        <f>'2.0'!E80</f>
        <v>20</v>
      </c>
    </row>
    <row r="9" spans="1:4" ht="15.75" thickBot="1">
      <c r="A9" s="713" t="s">
        <v>317</v>
      </c>
      <c r="B9" s="710" t="s">
        <v>309</v>
      </c>
      <c r="C9" s="392">
        <v>7125</v>
      </c>
      <c r="D9" s="1073">
        <v>-250</v>
      </c>
    </row>
    <row r="10" spans="1:4" ht="15.75" thickBot="1">
      <c r="A10" s="712" t="s">
        <v>318</v>
      </c>
      <c r="B10" s="710" t="s">
        <v>1763</v>
      </c>
      <c r="C10" s="392">
        <v>7130</v>
      </c>
      <c r="D10" s="1074"/>
    </row>
    <row r="11" spans="1:4" ht="15.75" thickBot="1">
      <c r="A11" s="713" t="s">
        <v>319</v>
      </c>
      <c r="B11" s="710" t="s">
        <v>309</v>
      </c>
      <c r="C11" s="392">
        <v>7135</v>
      </c>
      <c r="D11" s="1071">
        <f>'2.0'!E54</f>
        <v>60</v>
      </c>
    </row>
    <row r="12" spans="1:4" ht="15.75" thickBot="1">
      <c r="A12" s="713" t="s">
        <v>598</v>
      </c>
      <c r="B12" s="710" t="s">
        <v>309</v>
      </c>
      <c r="C12" s="392">
        <v>7140</v>
      </c>
      <c r="D12" s="1071">
        <f>'2.0'!E64+'2.0'!E65</f>
        <v>240</v>
      </c>
    </row>
    <row r="13" spans="1:4" ht="15.75" thickBot="1">
      <c r="A13" s="713" t="s">
        <v>320</v>
      </c>
      <c r="B13" s="710" t="s">
        <v>309</v>
      </c>
      <c r="C13" s="392">
        <v>7145</v>
      </c>
      <c r="D13" s="1075">
        <v>195</v>
      </c>
    </row>
    <row r="14" spans="1:4" ht="30.75" thickBot="1">
      <c r="A14" s="713" t="s">
        <v>321</v>
      </c>
      <c r="B14" s="710" t="s">
        <v>322</v>
      </c>
      <c r="C14" s="392">
        <v>7150</v>
      </c>
      <c r="D14" s="1075">
        <v>-140</v>
      </c>
    </row>
    <row r="15" spans="1:4" ht="30.75" thickBot="1">
      <c r="A15" s="713" t="s">
        <v>323</v>
      </c>
      <c r="B15" s="710" t="s">
        <v>322</v>
      </c>
      <c r="C15" s="392">
        <v>7155</v>
      </c>
      <c r="D15" s="1073">
        <v>-120</v>
      </c>
    </row>
    <row r="16" spans="1:4" ht="15.75" thickBot="1">
      <c r="A16" s="712" t="s">
        <v>324</v>
      </c>
      <c r="B16" s="710" t="s">
        <v>1763</v>
      </c>
      <c r="C16" s="392">
        <v>7160</v>
      </c>
      <c r="D16" s="1074"/>
    </row>
    <row r="17" spans="1:4" ht="15.75" thickBot="1">
      <c r="A17" s="713" t="s">
        <v>325</v>
      </c>
      <c r="B17" s="710" t="s">
        <v>309</v>
      </c>
      <c r="C17" s="392">
        <v>7165</v>
      </c>
      <c r="D17" s="1071">
        <f>'44.a'!M49-'44.a'!M8</f>
        <v>12</v>
      </c>
    </row>
    <row r="18" spans="1:4" ht="30.75" thickBot="1">
      <c r="A18" s="713" t="s">
        <v>1832</v>
      </c>
      <c r="B18" s="710" t="s">
        <v>309</v>
      </c>
      <c r="C18" s="392">
        <v>7170</v>
      </c>
      <c r="D18" s="1071">
        <f>'44.a'!N49-'44.a'!N8</f>
        <v>12</v>
      </c>
    </row>
    <row r="19" spans="1:4" ht="15.75" thickBot="1">
      <c r="A19" s="713" t="s">
        <v>1833</v>
      </c>
      <c r="B19" s="710" t="s">
        <v>1763</v>
      </c>
      <c r="C19" s="392">
        <v>7175</v>
      </c>
      <c r="D19" s="1073">
        <v>-50</v>
      </c>
    </row>
    <row r="20" spans="1:4" ht="30" thickBot="1">
      <c r="A20" s="714" t="s">
        <v>1834</v>
      </c>
      <c r="B20" s="710" t="s">
        <v>1763</v>
      </c>
      <c r="C20" s="392">
        <v>7180</v>
      </c>
      <c r="D20" s="1071">
        <f>D4+D5</f>
        <v>819</v>
      </c>
    </row>
    <row r="21" spans="1:4" ht="30.75" thickBot="1">
      <c r="A21" s="715" t="s">
        <v>1601</v>
      </c>
      <c r="B21" s="710" t="s">
        <v>1763</v>
      </c>
      <c r="C21" s="392">
        <v>7182</v>
      </c>
      <c r="D21" s="1071">
        <f>-D22+D31</f>
        <v>110</v>
      </c>
    </row>
    <row r="22" spans="1:4" ht="30.75" thickBot="1">
      <c r="A22" s="712" t="s">
        <v>1602</v>
      </c>
      <c r="B22" s="710" t="s">
        <v>1835</v>
      </c>
      <c r="C22" s="392">
        <v>7185</v>
      </c>
      <c r="D22" s="1071">
        <f>SUM(D23:D30)</f>
        <v>240</v>
      </c>
    </row>
    <row r="23" spans="1:4" ht="15.75" thickBot="1">
      <c r="A23" s="713" t="s">
        <v>1603</v>
      </c>
      <c r="B23" s="710" t="s">
        <v>1835</v>
      </c>
      <c r="C23" s="392">
        <v>7190</v>
      </c>
      <c r="D23" s="1073">
        <v>30</v>
      </c>
    </row>
    <row r="24" spans="1:4" ht="30.75" thickBot="1">
      <c r="A24" s="716" t="s">
        <v>2817</v>
      </c>
      <c r="B24" s="710" t="s">
        <v>1835</v>
      </c>
      <c r="C24" s="392">
        <v>7195</v>
      </c>
      <c r="D24" s="1073">
        <v>30</v>
      </c>
    </row>
    <row r="25" spans="1:4" ht="15.75" thickBot="1">
      <c r="A25" s="713" t="s">
        <v>1604</v>
      </c>
      <c r="B25" s="710" t="s">
        <v>1835</v>
      </c>
      <c r="C25" s="392">
        <v>7200</v>
      </c>
      <c r="D25" s="1073">
        <v>30</v>
      </c>
    </row>
    <row r="26" spans="1:4" ht="15.75" thickBot="1">
      <c r="A26" s="713" t="s">
        <v>1605</v>
      </c>
      <c r="B26" s="710" t="s">
        <v>1835</v>
      </c>
      <c r="C26" s="392">
        <v>7205</v>
      </c>
      <c r="D26" s="1073">
        <v>30</v>
      </c>
    </row>
    <row r="27" spans="1:4" ht="30.75" thickBot="1">
      <c r="A27" s="713" t="s">
        <v>1606</v>
      </c>
      <c r="B27" s="710" t="s">
        <v>1835</v>
      </c>
      <c r="C27" s="392">
        <v>7210</v>
      </c>
      <c r="D27" s="1073">
        <v>30</v>
      </c>
    </row>
    <row r="28" spans="1:4" ht="30.75" thickBot="1">
      <c r="A28" s="713" t="s">
        <v>1607</v>
      </c>
      <c r="B28" s="710" t="s">
        <v>1835</v>
      </c>
      <c r="C28" s="392">
        <v>7215</v>
      </c>
      <c r="D28" s="1073">
        <v>30</v>
      </c>
    </row>
    <row r="29" spans="1:4" ht="15.75" thickBot="1">
      <c r="A29" s="713" t="s">
        <v>1608</v>
      </c>
      <c r="B29" s="710" t="s">
        <v>1835</v>
      </c>
      <c r="C29" s="392">
        <v>7220</v>
      </c>
      <c r="D29" s="1073">
        <v>30</v>
      </c>
    </row>
    <row r="30" spans="1:4" ht="30.75" thickBot="1">
      <c r="A30" s="713" t="s">
        <v>1609</v>
      </c>
      <c r="B30" s="710" t="s">
        <v>1835</v>
      </c>
      <c r="C30" s="392">
        <v>7225</v>
      </c>
      <c r="D30" s="1073">
        <v>30</v>
      </c>
    </row>
    <row r="31" spans="1:4" ht="30.75" thickBot="1">
      <c r="A31" s="712" t="s">
        <v>1836</v>
      </c>
      <c r="B31" s="710" t="s">
        <v>1835</v>
      </c>
      <c r="C31" s="392">
        <v>7230</v>
      </c>
      <c r="D31" s="1071">
        <f>SUM(D32:D40)</f>
        <v>350</v>
      </c>
    </row>
    <row r="32" spans="1:4" ht="15.75" thickBot="1">
      <c r="A32" s="713" t="s">
        <v>1837</v>
      </c>
      <c r="B32" s="710" t="s">
        <v>1835</v>
      </c>
      <c r="C32" s="392">
        <v>7235</v>
      </c>
      <c r="D32" s="1073">
        <v>40</v>
      </c>
    </row>
    <row r="33" spans="1:5" ht="15.75" thickBot="1">
      <c r="A33" s="713" t="s">
        <v>898</v>
      </c>
      <c r="B33" s="710" t="s">
        <v>1835</v>
      </c>
      <c r="C33" s="392">
        <v>7240</v>
      </c>
      <c r="D33" s="1073">
        <v>40</v>
      </c>
    </row>
    <row r="34" spans="1:5" ht="30.75" thickBot="1">
      <c r="A34" s="713" t="s">
        <v>899</v>
      </c>
      <c r="B34" s="710" t="s">
        <v>1835</v>
      </c>
      <c r="C34" s="392">
        <v>7245</v>
      </c>
      <c r="D34" s="1073">
        <v>40</v>
      </c>
    </row>
    <row r="35" spans="1:5" ht="30.75" thickBot="1">
      <c r="A35" s="713" t="s">
        <v>900</v>
      </c>
      <c r="B35" s="710" t="s">
        <v>1835</v>
      </c>
      <c r="C35" s="392">
        <v>7250</v>
      </c>
      <c r="D35" s="1073">
        <v>40</v>
      </c>
    </row>
    <row r="36" spans="1:5" ht="30.75" thickBot="1">
      <c r="A36" s="713" t="s">
        <v>2589</v>
      </c>
      <c r="B36" s="710" t="s">
        <v>1835</v>
      </c>
      <c r="C36" s="392">
        <v>7255</v>
      </c>
      <c r="D36" s="1073">
        <v>40</v>
      </c>
    </row>
    <row r="37" spans="1:5" ht="30.75" thickBot="1">
      <c r="A37" s="713" t="s">
        <v>2590</v>
      </c>
      <c r="B37" s="710" t="s">
        <v>1835</v>
      </c>
      <c r="C37" s="392">
        <v>7260</v>
      </c>
      <c r="D37" s="1073">
        <v>50</v>
      </c>
    </row>
    <row r="38" spans="1:5" ht="30.75" thickBot="1">
      <c r="A38" s="713" t="s">
        <v>2593</v>
      </c>
      <c r="B38" s="710" t="s">
        <v>1835</v>
      </c>
      <c r="C38" s="392">
        <v>7265</v>
      </c>
      <c r="D38" s="1073">
        <v>40</v>
      </c>
    </row>
    <row r="39" spans="1:5" ht="15.75" thickBot="1">
      <c r="A39" s="716" t="s">
        <v>698</v>
      </c>
      <c r="B39" s="708" t="s">
        <v>1835</v>
      </c>
      <c r="C39" s="392">
        <v>8267</v>
      </c>
      <c r="D39" s="711">
        <v>10</v>
      </c>
    </row>
    <row r="40" spans="1:5" ht="30.75" thickBot="1">
      <c r="A40" s="713" t="s">
        <v>2594</v>
      </c>
      <c r="B40" s="710" t="s">
        <v>1835</v>
      </c>
      <c r="C40" s="392">
        <v>7270</v>
      </c>
      <c r="D40" s="1073">
        <v>50</v>
      </c>
    </row>
    <row r="41" spans="1:5" ht="15.75" thickBot="1">
      <c r="A41" s="714" t="s">
        <v>2595</v>
      </c>
      <c r="B41" s="710"/>
      <c r="C41" s="392">
        <v>7275</v>
      </c>
      <c r="D41" s="1072">
        <f>D21+D20</f>
        <v>929</v>
      </c>
    </row>
    <row r="42" spans="1:5" ht="15.75" thickBot="1">
      <c r="A42" s="714" t="s">
        <v>2596</v>
      </c>
      <c r="B42" s="710" t="s">
        <v>2597</v>
      </c>
      <c r="C42" s="392">
        <v>7280</v>
      </c>
      <c r="D42" s="1075">
        <v>100</v>
      </c>
    </row>
    <row r="43" spans="1:5" ht="15.75" thickBot="1">
      <c r="A43" s="717" t="s">
        <v>2598</v>
      </c>
      <c r="B43" s="417" t="s">
        <v>2599</v>
      </c>
      <c r="C43" s="393">
        <v>7285</v>
      </c>
      <c r="D43" s="1071">
        <f>D42+D41</f>
        <v>1029</v>
      </c>
      <c r="E43" s="1092"/>
    </row>
    <row r="44" spans="1:5" ht="15.75" thickBot="1">
      <c r="A44" s="687"/>
      <c r="B44" s="687"/>
      <c r="C44" s="279"/>
      <c r="D44" s="279"/>
    </row>
    <row r="45" spans="1:5" ht="15.75" thickBot="1">
      <c r="A45" s="87" t="s">
        <v>2586</v>
      </c>
      <c r="B45" s="706"/>
      <c r="C45" s="142"/>
      <c r="D45" s="142"/>
    </row>
    <row r="46" spans="1:5" ht="15.75" thickBot="1">
      <c r="A46" s="363" t="s">
        <v>662</v>
      </c>
      <c r="B46" s="345" t="s">
        <v>663</v>
      </c>
      <c r="C46" s="390">
        <v>7290</v>
      </c>
      <c r="D46" s="1073">
        <v>15</v>
      </c>
    </row>
    <row r="47" spans="1:5" ht="15.75" thickBot="1">
      <c r="A47" s="363" t="s">
        <v>664</v>
      </c>
      <c r="B47" s="345" t="s">
        <v>665</v>
      </c>
      <c r="C47" s="392">
        <v>7295</v>
      </c>
      <c r="D47" s="1073">
        <v>10</v>
      </c>
    </row>
    <row r="48" spans="1:5" ht="15.75" thickBot="1">
      <c r="A48" s="363" t="s">
        <v>666</v>
      </c>
      <c r="B48" s="345" t="s">
        <v>663</v>
      </c>
      <c r="C48" s="392">
        <v>7305</v>
      </c>
      <c r="D48" s="1073">
        <v>15</v>
      </c>
    </row>
    <row r="49" spans="1:4" ht="15.75" thickBot="1">
      <c r="A49" s="363" t="s">
        <v>667</v>
      </c>
      <c r="B49" s="345" t="s">
        <v>665</v>
      </c>
      <c r="C49" s="392">
        <v>7315</v>
      </c>
      <c r="D49" s="1073">
        <v>10</v>
      </c>
    </row>
    <row r="50" spans="1:4" ht="30.75" thickBot="1">
      <c r="A50" s="363" t="s">
        <v>668</v>
      </c>
      <c r="B50" s="345" t="s">
        <v>669</v>
      </c>
      <c r="C50" s="392">
        <v>7325</v>
      </c>
      <c r="D50" s="1073">
        <v>15</v>
      </c>
    </row>
    <row r="51" spans="1:4" ht="30.75" thickBot="1">
      <c r="A51" s="363" t="s">
        <v>670</v>
      </c>
      <c r="B51" s="345" t="s">
        <v>671</v>
      </c>
      <c r="C51" s="392">
        <v>7335</v>
      </c>
      <c r="D51" s="1073">
        <v>10</v>
      </c>
    </row>
    <row r="52" spans="1:4" ht="30.75" thickBot="1">
      <c r="A52" s="363" t="s">
        <v>672</v>
      </c>
      <c r="B52" s="345" t="s">
        <v>669</v>
      </c>
      <c r="C52" s="392">
        <v>7345</v>
      </c>
      <c r="D52" s="1073">
        <v>15</v>
      </c>
    </row>
    <row r="53" spans="1:4" ht="30.75" thickBot="1">
      <c r="A53" s="363" t="s">
        <v>673</v>
      </c>
      <c r="B53" s="345" t="s">
        <v>671</v>
      </c>
      <c r="C53" s="392">
        <v>7355</v>
      </c>
      <c r="D53" s="1073">
        <v>10</v>
      </c>
    </row>
    <row r="54" spans="1:4" ht="15.75" thickBot="1">
      <c r="A54" s="363" t="s">
        <v>674</v>
      </c>
      <c r="B54" s="345" t="s">
        <v>669</v>
      </c>
      <c r="C54" s="392">
        <v>7365</v>
      </c>
      <c r="D54" s="1073">
        <v>15</v>
      </c>
    </row>
    <row r="55" spans="1:4" ht="30.75" thickBot="1">
      <c r="A55" s="363" t="s">
        <v>675</v>
      </c>
      <c r="B55" s="345" t="s">
        <v>671</v>
      </c>
      <c r="C55" s="392">
        <v>7375</v>
      </c>
      <c r="D55" s="1073">
        <v>10</v>
      </c>
    </row>
    <row r="56" spans="1:4" ht="15.75" thickBot="1">
      <c r="A56" s="363" t="s">
        <v>676</v>
      </c>
      <c r="B56" s="345" t="s">
        <v>677</v>
      </c>
      <c r="C56" s="392">
        <v>7385</v>
      </c>
      <c r="D56" s="1073">
        <v>15</v>
      </c>
    </row>
    <row r="57" spans="1:4" ht="15.75" thickBot="1">
      <c r="A57" s="363" t="s">
        <v>678</v>
      </c>
      <c r="B57" s="345" t="s">
        <v>677</v>
      </c>
      <c r="C57" s="392">
        <v>7395</v>
      </c>
      <c r="D57" s="1073">
        <v>10</v>
      </c>
    </row>
    <row r="58" spans="1:4" ht="15.75" thickBot="1">
      <c r="A58" s="717" t="s">
        <v>679</v>
      </c>
      <c r="B58" s="674" t="s">
        <v>2599</v>
      </c>
      <c r="C58" s="393">
        <v>7405</v>
      </c>
      <c r="D58" s="1071">
        <f>-D46+D47-D48+D49-D50+D51-D52+D53-D54+D55-D56+D57</f>
        <v>-30</v>
      </c>
    </row>
    <row r="59" spans="1:4" ht="15.75" thickBot="1">
      <c r="A59" s="687"/>
      <c r="B59" s="687"/>
      <c r="C59" s="718"/>
      <c r="D59" s="718"/>
    </row>
    <row r="60" spans="1:4" ht="15.75" thickBot="1">
      <c r="A60" s="87" t="s">
        <v>680</v>
      </c>
      <c r="B60" s="706"/>
      <c r="C60" s="142"/>
      <c r="D60" s="142"/>
    </row>
    <row r="61" spans="1:4" ht="15.75" thickBot="1">
      <c r="A61" s="363" t="s">
        <v>681</v>
      </c>
      <c r="B61" s="345" t="s">
        <v>682</v>
      </c>
      <c r="C61" s="390">
        <v>7410</v>
      </c>
      <c r="D61" s="1073">
        <v>10</v>
      </c>
    </row>
    <row r="62" spans="1:4" ht="15.75" thickBot="1">
      <c r="A62" s="363" t="s">
        <v>683</v>
      </c>
      <c r="B62" s="345" t="s">
        <v>684</v>
      </c>
      <c r="C62" s="392">
        <v>7420</v>
      </c>
      <c r="D62" s="1073">
        <v>15</v>
      </c>
    </row>
    <row r="63" spans="1:4" ht="15.75" thickBot="1">
      <c r="A63" s="363" t="s">
        <v>685</v>
      </c>
      <c r="B63" s="345" t="s">
        <v>686</v>
      </c>
      <c r="C63" s="392">
        <v>7430</v>
      </c>
      <c r="D63" s="1073">
        <v>15</v>
      </c>
    </row>
    <row r="64" spans="1:4" ht="30.75" thickBot="1">
      <c r="A64" s="363" t="s">
        <v>687</v>
      </c>
      <c r="B64" s="345" t="s">
        <v>688</v>
      </c>
      <c r="C64" s="392">
        <v>7440</v>
      </c>
      <c r="D64" s="1073">
        <v>20</v>
      </c>
    </row>
    <row r="65" spans="1:5" ht="30.75" thickBot="1">
      <c r="A65" s="363" t="s">
        <v>689</v>
      </c>
      <c r="B65" s="345" t="s">
        <v>690</v>
      </c>
      <c r="C65" s="392">
        <v>7450</v>
      </c>
      <c r="D65" s="1073">
        <v>10</v>
      </c>
    </row>
    <row r="66" spans="1:5" ht="15.75" thickBot="1">
      <c r="A66" s="363" t="s">
        <v>691</v>
      </c>
      <c r="B66" s="345" t="s">
        <v>692</v>
      </c>
      <c r="C66" s="392">
        <v>7460</v>
      </c>
      <c r="D66" s="1073">
        <v>15</v>
      </c>
    </row>
    <row r="67" spans="1:5" ht="15.75" thickBot="1">
      <c r="A67" s="363" t="s">
        <v>693</v>
      </c>
      <c r="B67" s="345" t="s">
        <v>690</v>
      </c>
      <c r="C67" s="392">
        <v>7470</v>
      </c>
      <c r="D67" s="1073">
        <v>20</v>
      </c>
    </row>
    <row r="68" spans="1:5" ht="15.75" thickBot="1">
      <c r="A68" s="363" t="s">
        <v>694</v>
      </c>
      <c r="B68" s="345" t="s">
        <v>695</v>
      </c>
      <c r="C68" s="392">
        <v>7480</v>
      </c>
      <c r="D68" s="1073">
        <v>15</v>
      </c>
    </row>
    <row r="69" spans="1:5" ht="15.75" thickBot="1">
      <c r="A69" s="363" t="s">
        <v>696</v>
      </c>
      <c r="B69" s="345" t="s">
        <v>695</v>
      </c>
      <c r="C69" s="392">
        <v>7490</v>
      </c>
      <c r="D69" s="1073">
        <v>5</v>
      </c>
    </row>
    <row r="70" spans="1:5" ht="15.75" thickBot="1">
      <c r="A70" s="714" t="s">
        <v>697</v>
      </c>
      <c r="B70" s="345" t="s">
        <v>2599</v>
      </c>
      <c r="C70" s="392">
        <v>7500</v>
      </c>
      <c r="D70" s="1071">
        <f>-D61+D62-D63-D64+D65-D66+D67+D68-D69</f>
        <v>-5</v>
      </c>
    </row>
    <row r="71" spans="1:5" ht="30.75" thickBot="1">
      <c r="A71" s="719" t="s">
        <v>1477</v>
      </c>
      <c r="B71" s="720" t="s">
        <v>1478</v>
      </c>
      <c r="C71" s="393">
        <v>7510</v>
      </c>
      <c r="D71" s="1076">
        <v>10</v>
      </c>
    </row>
    <row r="72" spans="1:5" ht="15">
      <c r="A72" s="279"/>
      <c r="B72" s="279"/>
      <c r="C72" s="279"/>
      <c r="D72" s="279"/>
    </row>
    <row r="73" spans="1:5" ht="15.75" thickBot="1">
      <c r="A73" s="687"/>
      <c r="B73" s="687"/>
      <c r="C73" s="279"/>
      <c r="D73" s="279"/>
    </row>
    <row r="74" spans="1:5" ht="30" thickBot="1">
      <c r="A74" s="721" t="s">
        <v>1680</v>
      </c>
      <c r="B74" s="722"/>
      <c r="C74" s="390">
        <v>7515</v>
      </c>
      <c r="D74" s="1072">
        <f>D43+D58+D70</f>
        <v>994</v>
      </c>
    </row>
    <row r="75" spans="1:5" ht="30" thickBot="1">
      <c r="A75" s="723" t="s">
        <v>1681</v>
      </c>
      <c r="B75" s="724" t="s">
        <v>1682</v>
      </c>
      <c r="C75" s="392">
        <v>7520</v>
      </c>
      <c r="D75" s="1071">
        <f>D76-D74-D71</f>
        <v>61</v>
      </c>
    </row>
    <row r="76" spans="1:5" ht="30" thickBot="1">
      <c r="A76" s="723" t="s">
        <v>1683</v>
      </c>
      <c r="B76" s="724" t="s">
        <v>1682</v>
      </c>
      <c r="C76" s="392">
        <v>7525</v>
      </c>
      <c r="D76" s="1071">
        <f>D87</f>
        <v>1065</v>
      </c>
      <c r="E76" s="1092"/>
    </row>
    <row r="77" spans="1:5" ht="15.75" thickBot="1">
      <c r="A77" s="725" t="s">
        <v>1684</v>
      </c>
      <c r="B77" s="710" t="s">
        <v>1685</v>
      </c>
      <c r="C77" s="392">
        <v>7530</v>
      </c>
      <c r="D77" s="1074"/>
    </row>
    <row r="78" spans="1:5" ht="15.75" thickBot="1">
      <c r="A78" s="363" t="s">
        <v>2533</v>
      </c>
      <c r="B78" s="710" t="s">
        <v>2534</v>
      </c>
      <c r="C78" s="392">
        <v>7535</v>
      </c>
      <c r="D78" s="1073">
        <v>485</v>
      </c>
    </row>
    <row r="79" spans="1:5" ht="15.75" thickBot="1">
      <c r="A79" s="363" t="s">
        <v>2535</v>
      </c>
      <c r="B79" s="710" t="s">
        <v>2536</v>
      </c>
      <c r="C79" s="392">
        <v>7540</v>
      </c>
      <c r="D79" s="1073">
        <v>325</v>
      </c>
    </row>
    <row r="80" spans="1:5" ht="15.75" thickBot="1">
      <c r="A80" s="363" t="s">
        <v>1057</v>
      </c>
      <c r="B80" s="710" t="s">
        <v>2536</v>
      </c>
      <c r="C80" s="392">
        <v>7545</v>
      </c>
      <c r="D80" s="1073">
        <v>45</v>
      </c>
    </row>
    <row r="81" spans="1:5" ht="15.75" thickBot="1">
      <c r="A81" s="363" t="s">
        <v>349</v>
      </c>
      <c r="B81" s="710" t="s">
        <v>2536</v>
      </c>
      <c r="C81" s="392">
        <v>7550</v>
      </c>
      <c r="D81" s="1073">
        <v>45</v>
      </c>
    </row>
    <row r="82" spans="1:5" ht="15.75" thickBot="1">
      <c r="A82" s="363" t="s">
        <v>2537</v>
      </c>
      <c r="B82" s="710" t="s">
        <v>2536</v>
      </c>
      <c r="C82" s="392">
        <v>7555</v>
      </c>
      <c r="D82" s="1073">
        <v>45</v>
      </c>
    </row>
    <row r="83" spans="1:5" ht="15.75" thickBot="1">
      <c r="A83" s="363" t="s">
        <v>1137</v>
      </c>
      <c r="B83" s="710" t="s">
        <v>2536</v>
      </c>
      <c r="C83" s="392">
        <v>7560</v>
      </c>
      <c r="D83" s="1073">
        <v>45</v>
      </c>
    </row>
    <row r="84" spans="1:5" ht="30.75" thickBot="1">
      <c r="A84" s="363" t="s">
        <v>968</v>
      </c>
      <c r="B84" s="710" t="s">
        <v>2536</v>
      </c>
      <c r="C84" s="392">
        <v>7565</v>
      </c>
      <c r="D84" s="1073">
        <v>45</v>
      </c>
    </row>
    <row r="85" spans="1:5" ht="15.75" thickBot="1">
      <c r="A85" s="363" t="s">
        <v>2538</v>
      </c>
      <c r="B85" s="710" t="s">
        <v>2536</v>
      </c>
      <c r="C85" s="392">
        <v>7570</v>
      </c>
      <c r="D85" s="1073">
        <v>15</v>
      </c>
    </row>
    <row r="86" spans="1:5" ht="30.75" thickBot="1">
      <c r="A86" s="363" t="s">
        <v>2539</v>
      </c>
      <c r="B86" s="710" t="s">
        <v>2540</v>
      </c>
      <c r="C86" s="392">
        <v>7575</v>
      </c>
      <c r="D86" s="1073">
        <v>15</v>
      </c>
    </row>
    <row r="87" spans="1:5" ht="15.75" thickBot="1">
      <c r="A87" s="723" t="s">
        <v>2541</v>
      </c>
      <c r="B87" s="724" t="s">
        <v>2542</v>
      </c>
      <c r="C87" s="392">
        <v>7599</v>
      </c>
      <c r="D87" s="1071">
        <f>SUM(D78:D86)</f>
        <v>1065</v>
      </c>
      <c r="E87" s="1092"/>
    </row>
    <row r="88" spans="1:5" ht="30.75" thickBot="1">
      <c r="A88" s="726" t="s">
        <v>231</v>
      </c>
      <c r="B88" s="710" t="s">
        <v>2543</v>
      </c>
      <c r="C88" s="392">
        <v>7600</v>
      </c>
      <c r="D88" s="1073">
        <v>5</v>
      </c>
    </row>
    <row r="89" spans="1:5" ht="15.75" thickBot="1">
      <c r="A89" s="363" t="s">
        <v>2544</v>
      </c>
      <c r="B89" s="710" t="s">
        <v>2545</v>
      </c>
      <c r="C89" s="392">
        <v>7605</v>
      </c>
      <c r="D89" s="1073">
        <v>5</v>
      </c>
    </row>
    <row r="90" spans="1:5" ht="18" customHeight="1" thickBot="1">
      <c r="A90" s="725" t="s">
        <v>2546</v>
      </c>
      <c r="B90" s="710"/>
      <c r="C90" s="727"/>
      <c r="D90" s="1077"/>
    </row>
    <row r="91" spans="1:5" ht="15.75" thickBot="1">
      <c r="A91" s="363" t="s">
        <v>2547</v>
      </c>
      <c r="B91" s="710" t="s">
        <v>2548</v>
      </c>
      <c r="C91" s="392">
        <v>7610</v>
      </c>
      <c r="D91" s="1073">
        <v>195</v>
      </c>
    </row>
    <row r="92" spans="1:5" ht="15.75" thickBot="1">
      <c r="A92" s="363" t="s">
        <v>2549</v>
      </c>
      <c r="B92" s="710" t="s">
        <v>2548</v>
      </c>
      <c r="C92" s="392">
        <v>7615</v>
      </c>
      <c r="D92" s="1073">
        <v>85</v>
      </c>
    </row>
    <row r="93" spans="1:5" ht="15.75" thickBot="1">
      <c r="A93" s="363" t="s">
        <v>2550</v>
      </c>
      <c r="B93" s="710" t="s">
        <v>2548</v>
      </c>
      <c r="C93" s="392">
        <v>7620</v>
      </c>
      <c r="D93" s="1073">
        <v>102</v>
      </c>
    </row>
    <row r="94" spans="1:5" ht="30.75" thickBot="1">
      <c r="A94" s="725" t="s">
        <v>2551</v>
      </c>
      <c r="B94" s="710"/>
      <c r="C94" s="727"/>
      <c r="D94" s="1077"/>
    </row>
    <row r="95" spans="1:5" ht="15.75" thickBot="1">
      <c r="A95" s="363" t="s">
        <v>2552</v>
      </c>
      <c r="B95" s="710" t="s">
        <v>2553</v>
      </c>
      <c r="C95" s="392">
        <v>7625</v>
      </c>
      <c r="D95" s="1071">
        <f>D96+D97+D98</f>
        <v>30</v>
      </c>
    </row>
    <row r="96" spans="1:5" ht="30.75" thickBot="1">
      <c r="A96" s="363" t="s">
        <v>2554</v>
      </c>
      <c r="B96" s="710" t="s">
        <v>2555</v>
      </c>
      <c r="C96" s="392">
        <v>7630</v>
      </c>
      <c r="D96" s="1073">
        <v>10</v>
      </c>
    </row>
    <row r="97" spans="1:30" ht="30.75" thickBot="1">
      <c r="A97" s="363" t="s">
        <v>2556</v>
      </c>
      <c r="B97" s="710" t="s">
        <v>2557</v>
      </c>
      <c r="C97" s="392">
        <v>7635</v>
      </c>
      <c r="D97" s="1073">
        <v>10</v>
      </c>
    </row>
    <row r="98" spans="1:30" ht="30.75" thickBot="1">
      <c r="A98" s="363" t="s">
        <v>2558</v>
      </c>
      <c r="B98" s="710" t="s">
        <v>2559</v>
      </c>
      <c r="C98" s="580">
        <v>7640</v>
      </c>
      <c r="D98" s="1073">
        <v>10</v>
      </c>
    </row>
    <row r="99" spans="1:30" ht="15.75" thickBot="1">
      <c r="A99" s="725" t="s">
        <v>743</v>
      </c>
      <c r="B99" s="710" t="s">
        <v>744</v>
      </c>
      <c r="C99" s="580">
        <v>7645</v>
      </c>
      <c r="D99" s="1077"/>
    </row>
    <row r="100" spans="1:30" ht="30.75" thickBot="1">
      <c r="A100" s="363" t="s">
        <v>755</v>
      </c>
      <c r="B100" s="710" t="s">
        <v>756</v>
      </c>
      <c r="C100" s="580">
        <v>7650</v>
      </c>
      <c r="D100" s="1073">
        <v>50</v>
      </c>
    </row>
    <row r="101" spans="1:30" ht="15.75" thickBot="1">
      <c r="A101" s="363" t="s">
        <v>757</v>
      </c>
      <c r="B101" s="710" t="s">
        <v>758</v>
      </c>
      <c r="C101" s="580">
        <v>7655</v>
      </c>
      <c r="D101" s="1073">
        <v>50</v>
      </c>
    </row>
    <row r="102" spans="1:30" ht="15.75" thickBot="1">
      <c r="A102" s="728" t="s">
        <v>759</v>
      </c>
      <c r="B102" s="417" t="s">
        <v>760</v>
      </c>
      <c r="C102" s="581">
        <v>7660</v>
      </c>
      <c r="D102" s="1073">
        <v>61</v>
      </c>
    </row>
    <row r="103" spans="1:30">
      <c r="D103" s="1078">
        <f>D102-'44.a'!W22</f>
        <v>0</v>
      </c>
    </row>
    <row r="104" spans="1:30" s="1134" customFormat="1" ht="15">
      <c r="A104" s="1149"/>
    </row>
    <row r="105" spans="1:30" s="1134" customFormat="1" ht="13.5">
      <c r="A105" s="1150"/>
      <c r="B105" s="1134">
        <v>10</v>
      </c>
      <c r="C105" s="1134" t="b">
        <f>D70=-D61+D62-D63-D64+D65-D66+D67+D68-D69</f>
        <v>1</v>
      </c>
      <c r="D105" s="1134" t="s">
        <v>9</v>
      </c>
    </row>
    <row r="106" spans="1:30" s="1134" customFormat="1" ht="13.5">
      <c r="A106" s="1150"/>
      <c r="B106" s="1134">
        <v>20</v>
      </c>
      <c r="C106" s="1134" t="b">
        <f>D58=-D46+D47-D48+D49-D50+D51-D52+D53-D54+D55-D56+D57</f>
        <v>1</v>
      </c>
      <c r="D106" s="1134" t="s">
        <v>2668</v>
      </c>
    </row>
    <row r="107" spans="1:30" s="1134" customFormat="1" ht="13.5">
      <c r="A107" s="1150"/>
      <c r="B107" s="1134">
        <v>30</v>
      </c>
      <c r="C107" s="1134" t="b">
        <f>D43=D41+D42</f>
        <v>1</v>
      </c>
      <c r="D107" s="1134" t="s">
        <v>2667</v>
      </c>
    </row>
    <row r="108" spans="1:30" s="1139" customFormat="1" ht="13.5">
      <c r="A108" s="1151"/>
      <c r="B108" s="1139">
        <v>40</v>
      </c>
      <c r="C108" s="1134" t="b">
        <f>IF(D88&gt;0,IF(D87&gt;0,TRUE,FALSE),TRUE)</f>
        <v>1</v>
      </c>
      <c r="D108" s="1134" t="s">
        <v>457</v>
      </c>
      <c r="E108" s="1152"/>
      <c r="F108" s="1152"/>
      <c r="G108" s="1152"/>
      <c r="H108" s="1152"/>
      <c r="I108" s="1152"/>
      <c r="J108" s="1152"/>
      <c r="K108" s="1152"/>
      <c r="L108" s="1152"/>
      <c r="M108" s="1152"/>
      <c r="N108" s="1152"/>
      <c r="O108" s="1152"/>
      <c r="P108" s="1152"/>
      <c r="Q108" s="1153"/>
      <c r="R108" s="1153"/>
      <c r="S108" s="1153"/>
      <c r="T108" s="1153"/>
      <c r="U108" s="1153"/>
      <c r="V108" s="1153"/>
      <c r="W108" s="1153"/>
      <c r="X108" s="1153"/>
      <c r="Y108" s="1153"/>
      <c r="Z108" s="1153"/>
      <c r="AA108" s="1153"/>
      <c r="AB108" s="1153"/>
      <c r="AC108" s="1153"/>
      <c r="AD108" s="1153"/>
    </row>
    <row r="109" spans="1:30" s="1134" customFormat="1" ht="13.5">
      <c r="A109" s="1150"/>
      <c r="B109" s="1134">
        <v>50</v>
      </c>
      <c r="C109" s="1134" t="b">
        <f>D22=SUM(D23:D30)</f>
        <v>1</v>
      </c>
      <c r="D109" s="1134" t="s">
        <v>2666</v>
      </c>
    </row>
    <row r="110" spans="1:30" s="1134" customFormat="1" ht="13.5">
      <c r="A110" s="1150"/>
      <c r="B110" s="1134">
        <v>60</v>
      </c>
      <c r="C110" s="1134" t="b">
        <f>D31=SUM(D32:D40)</f>
        <v>1</v>
      </c>
      <c r="D110" s="1134" t="s">
        <v>2665</v>
      </c>
    </row>
    <row r="111" spans="1:30" s="1134" customFormat="1" ht="13.5">
      <c r="A111" s="1150"/>
      <c r="B111" s="1134">
        <v>70</v>
      </c>
      <c r="C111" s="1134" t="b">
        <f>D20=D4+D5</f>
        <v>1</v>
      </c>
      <c r="D111" s="1134" t="s">
        <v>2664</v>
      </c>
    </row>
    <row r="112" spans="1:30" s="1134" customFormat="1" ht="13.5">
      <c r="A112" s="1150"/>
      <c r="B112" s="1134">
        <v>80</v>
      </c>
      <c r="C112" s="1134" t="b">
        <f>D5=-D6+D7+D8+D9+D11+D12+D13+D14+D15+D17+D18+D19</f>
        <v>1</v>
      </c>
      <c r="D112" s="1134" t="s">
        <v>460</v>
      </c>
    </row>
    <row r="113" spans="1:4" s="1134" customFormat="1" ht="13.5">
      <c r="A113" s="1150"/>
      <c r="B113" s="1134">
        <v>90</v>
      </c>
      <c r="C113" s="1134" t="b">
        <f>D41=D20+D21</f>
        <v>1</v>
      </c>
      <c r="D113" s="1134" t="s">
        <v>2658</v>
      </c>
    </row>
    <row r="114" spans="1:4" s="1134" customFormat="1" ht="13.5">
      <c r="A114" s="1150"/>
      <c r="B114" s="1134">
        <v>100</v>
      </c>
      <c r="C114" s="1134" t="b">
        <f>D95=D96+D97+D98</f>
        <v>1</v>
      </c>
      <c r="D114" s="1134" t="s">
        <v>1250</v>
      </c>
    </row>
    <row r="115" spans="1:4" s="1134" customFormat="1" ht="13.5">
      <c r="A115" s="1150"/>
      <c r="B115" s="1134">
        <v>110</v>
      </c>
      <c r="C115" s="1134" t="b">
        <f>D74=D43 + D58 + D70</f>
        <v>1</v>
      </c>
      <c r="D115" s="1134" t="s">
        <v>458</v>
      </c>
    </row>
    <row r="116" spans="1:4" s="1134" customFormat="1" ht="13.5">
      <c r="A116" s="1150"/>
      <c r="B116" s="1134">
        <v>120</v>
      </c>
      <c r="C116" s="1134" t="b">
        <f>D21=-D22+D31</f>
        <v>1</v>
      </c>
      <c r="D116" s="1134" t="s">
        <v>10</v>
      </c>
    </row>
    <row r="117" spans="1:4" s="1134" customFormat="1" ht="13.5">
      <c r="A117" s="1150"/>
      <c r="B117" s="1134">
        <v>130</v>
      </c>
      <c r="C117" s="1134" t="b">
        <f>D76=D71+D74+D75</f>
        <v>1</v>
      </c>
      <c r="D117" s="1134" t="s">
        <v>459</v>
      </c>
    </row>
    <row r="118" spans="1:4" s="1134" customFormat="1" ht="13.5">
      <c r="A118" s="1150"/>
      <c r="B118" s="1134">
        <v>140</v>
      </c>
      <c r="C118" s="1134" t="b">
        <f>D4='2.0'!E81</f>
        <v>1</v>
      </c>
      <c r="D118" s="1134" t="s">
        <v>2660</v>
      </c>
    </row>
    <row r="119" spans="1:4" s="1134" customFormat="1" ht="13.5">
      <c r="A119" s="1150"/>
      <c r="B119" s="1134">
        <v>150</v>
      </c>
      <c r="C119" s="1134" t="b">
        <f>D8='2.0'!E80</f>
        <v>1</v>
      </c>
      <c r="D119" s="1134" t="s">
        <v>2661</v>
      </c>
    </row>
    <row r="120" spans="1:4" s="1134" customFormat="1" ht="13.5">
      <c r="A120" s="1150"/>
      <c r="B120" s="1134">
        <v>160</v>
      </c>
      <c r="C120" s="1134" t="b">
        <f>D102='44.a'!W22</f>
        <v>1</v>
      </c>
      <c r="D120" s="1134" t="s">
        <v>11</v>
      </c>
    </row>
    <row r="121" spans="1:4" s="1134" customFormat="1" ht="13.5">
      <c r="A121" s="1150"/>
      <c r="B121" s="1134">
        <v>170</v>
      </c>
      <c r="C121" s="1134" t="b">
        <f>D11='2.0'!E54</f>
        <v>1</v>
      </c>
      <c r="D121" s="1134" t="s">
        <v>2662</v>
      </c>
    </row>
    <row r="122" spans="1:4" s="1134" customFormat="1" ht="13.5">
      <c r="A122" s="1150"/>
      <c r="B122" s="1134">
        <v>180</v>
      </c>
      <c r="C122" s="1134" t="b">
        <f>D12='2.0'!E64+'2.0'!E65</f>
        <v>1</v>
      </c>
      <c r="D122" s="1134" t="s">
        <v>2663</v>
      </c>
    </row>
    <row r="123" spans="1:4" s="1134" customFormat="1" ht="13.5">
      <c r="A123" s="1150"/>
      <c r="B123" s="1134">
        <v>190</v>
      </c>
      <c r="C123" s="1134" t="b">
        <f>D17='44.a'!M49-'44.a'!M8</f>
        <v>1</v>
      </c>
      <c r="D123" s="1134" t="s">
        <v>12</v>
      </c>
    </row>
    <row r="124" spans="1:4" s="1134" customFormat="1" ht="13.5">
      <c r="A124" s="1150"/>
      <c r="B124" s="1134">
        <v>200</v>
      </c>
      <c r="C124" s="1134" t="b">
        <f>D18='44.a'!N49-'44.a'!N8</f>
        <v>1</v>
      </c>
      <c r="D124" s="1134" t="s">
        <v>13</v>
      </c>
    </row>
    <row r="125" spans="1:4" s="1134" customFormat="1" ht="13.5">
      <c r="A125" s="1150"/>
      <c r="B125" s="1134">
        <v>210</v>
      </c>
      <c r="C125" s="1134" t="b">
        <f>D87=SUM(D78:D86)</f>
        <v>1</v>
      </c>
      <c r="D125" s="1134" t="s">
        <v>1249</v>
      </c>
    </row>
    <row r="126" spans="1:4" s="1134" customFormat="1" ht="13.5">
      <c r="A126" s="1150"/>
    </row>
    <row r="127" spans="1:4">
      <c r="A127" s="1103"/>
      <c r="B127" s="4"/>
    </row>
    <row r="131" spans="1:1" ht="13.5">
      <c r="A131" s="38"/>
    </row>
    <row r="135" spans="1:1">
      <c r="A135" s="11"/>
    </row>
    <row r="138" spans="1:1">
      <c r="A138" s="11"/>
    </row>
    <row r="141" spans="1:1">
      <c r="A141" s="11"/>
    </row>
  </sheetData>
  <customSheetViews>
    <customSheetView guid="{5D819D0C-25F7-408A-B978-F4F86F7655CA}" showPageBreaks="1" showRuler="0" topLeftCell="A7">
      <selection activeCell="A23" sqref="A23"/>
      <pageMargins left="0.75" right="0.75" top="1" bottom="1" header="0.5" footer="0.5"/>
      <pageSetup paperSize="8" scale="82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2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2" orientation="portrait" r:id="rId3"/>
      <headerFooter alignWithMargins="0"/>
    </customSheetView>
  </customSheetViews>
  <phoneticPr fontId="0" type="noConversion"/>
  <pageMargins left="0.94488188976377963" right="7.874015748031496E-2" top="0.98425196850393704" bottom="0.98425196850393704" header="0.51181102362204722" footer="0.51181102362204722"/>
  <pageSetup paperSize="8" scale="62" orientation="landscape" r:id="rId4"/>
  <headerFooter alignWithMargins="0">
    <oddHeader>&amp;C43.0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AY119"/>
  <sheetViews>
    <sheetView showGridLines="0" zoomScale="69" zoomScaleNormal="69" zoomScaleSheetLayoutView="100" workbookViewId="0"/>
  </sheetViews>
  <sheetFormatPr defaultRowHeight="14.25"/>
  <cols>
    <col min="1" max="1" width="50.42578125" style="75" customWidth="1"/>
    <col min="2" max="2" width="15.5703125" style="56" customWidth="1"/>
    <col min="3" max="3" width="12.140625" style="56" customWidth="1"/>
    <col min="4" max="4" width="13.28515625" style="71" customWidth="1"/>
    <col min="5" max="5" width="10.140625" style="56" customWidth="1"/>
    <col min="6" max="6" width="9.85546875" style="56" customWidth="1"/>
    <col min="7" max="7" width="10.42578125" style="56" customWidth="1"/>
    <col min="8" max="8" width="10.28515625" style="56" customWidth="1"/>
    <col min="9" max="9" width="10.140625" style="56" customWidth="1"/>
    <col min="10" max="10" width="10.7109375" style="56" customWidth="1"/>
    <col min="11" max="12" width="9.7109375" style="56" customWidth="1"/>
    <col min="13" max="14" width="9.85546875" style="56" customWidth="1"/>
    <col min="15" max="17" width="9.140625" style="56"/>
    <col min="18" max="18" width="9.5703125" style="56" customWidth="1"/>
    <col min="19" max="16384" width="9.140625" style="56"/>
  </cols>
  <sheetData>
    <row r="1" spans="1:47" ht="16.5" thickBot="1">
      <c r="A1" s="737" t="s">
        <v>232</v>
      </c>
      <c r="B1" s="52"/>
      <c r="C1" s="731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128"/>
      <c r="Z1" s="127"/>
      <c r="AA1" s="128"/>
      <c r="AB1" s="1236"/>
      <c r="AC1" s="1236"/>
      <c r="AD1" s="128"/>
      <c r="AE1" s="1236"/>
      <c r="AF1" s="1236"/>
      <c r="AG1" s="1236"/>
      <c r="AH1" s="1236"/>
      <c r="AI1" s="1236"/>
      <c r="AJ1" s="1236"/>
      <c r="AK1" s="1236"/>
      <c r="AL1" s="1236"/>
      <c r="AM1" s="1236"/>
      <c r="AN1" s="1236"/>
      <c r="AO1" s="128"/>
      <c r="AP1" s="128"/>
      <c r="AQ1" s="128"/>
      <c r="AR1" s="128"/>
      <c r="AS1" s="1236"/>
      <c r="AT1" s="1236"/>
      <c r="AU1" s="128"/>
    </row>
    <row r="2" spans="1:47" ht="15" thickBot="1">
      <c r="A2" s="72"/>
      <c r="B2" s="1221" t="s">
        <v>1129</v>
      </c>
      <c r="C2" s="53"/>
      <c r="D2" s="1239" t="s">
        <v>233</v>
      </c>
      <c r="E2" s="1240"/>
      <c r="F2" s="54"/>
      <c r="G2" s="1239" t="s">
        <v>761</v>
      </c>
      <c r="H2" s="1240"/>
      <c r="I2" s="1242" t="s">
        <v>762</v>
      </c>
      <c r="J2" s="1243"/>
      <c r="K2" s="1243"/>
      <c r="L2" s="1243"/>
      <c r="M2" s="1243"/>
      <c r="N2" s="1243"/>
      <c r="O2" s="1243"/>
      <c r="P2" s="1240"/>
      <c r="Q2" s="124"/>
      <c r="R2" s="55"/>
      <c r="S2" s="55"/>
      <c r="T2" s="87"/>
      <c r="U2" s="1239" t="s">
        <v>420</v>
      </c>
      <c r="V2" s="1240"/>
      <c r="W2" s="54"/>
      <c r="X2" s="134"/>
      <c r="Z2" s="133"/>
      <c r="AA2" s="128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</row>
    <row r="3" spans="1:47" ht="152.25" thickBot="1">
      <c r="A3" s="732"/>
      <c r="B3" s="1244"/>
      <c r="C3" s="57"/>
      <c r="D3" s="271" t="s">
        <v>867</v>
      </c>
      <c r="E3" s="271" t="s">
        <v>765</v>
      </c>
      <c r="F3" s="271" t="s">
        <v>2056</v>
      </c>
      <c r="G3" s="271" t="s">
        <v>1589</v>
      </c>
      <c r="H3" s="271" t="s">
        <v>767</v>
      </c>
      <c r="I3" s="271" t="s">
        <v>472</v>
      </c>
      <c r="J3" s="271" t="s">
        <v>477</v>
      </c>
      <c r="K3" s="271" t="s">
        <v>769</v>
      </c>
      <c r="L3" s="271" t="s">
        <v>771</v>
      </c>
      <c r="M3" s="271" t="s">
        <v>773</v>
      </c>
      <c r="N3" s="271" t="s">
        <v>107</v>
      </c>
      <c r="O3" s="271" t="s">
        <v>639</v>
      </c>
      <c r="P3" s="271" t="s">
        <v>2077</v>
      </c>
      <c r="Q3" s="271" t="s">
        <v>2057</v>
      </c>
      <c r="R3" s="271" t="s">
        <v>776</v>
      </c>
      <c r="S3" s="271" t="s">
        <v>330</v>
      </c>
      <c r="T3" s="271" t="s">
        <v>251</v>
      </c>
      <c r="U3" s="271" t="s">
        <v>2079</v>
      </c>
      <c r="V3" s="271" t="s">
        <v>334</v>
      </c>
      <c r="W3" s="271" t="s">
        <v>1059</v>
      </c>
      <c r="X3" s="138"/>
      <c r="Z3" s="127"/>
      <c r="AA3" s="128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135"/>
      <c r="AN3" s="135"/>
      <c r="AO3" s="136"/>
      <c r="AP3" s="135"/>
      <c r="AQ3" s="135"/>
      <c r="AR3" s="135"/>
      <c r="AS3" s="137"/>
      <c r="AT3" s="138"/>
      <c r="AU3" s="138"/>
    </row>
    <row r="4" spans="1:47" ht="45.75" thickBot="1">
      <c r="A4" s="738" t="s">
        <v>763</v>
      </c>
      <c r="B4" s="1222"/>
      <c r="C4" s="59"/>
      <c r="D4" s="739" t="s">
        <v>764</v>
      </c>
      <c r="E4" s="740" t="s">
        <v>764</v>
      </c>
      <c r="F4" s="741" t="s">
        <v>2075</v>
      </c>
      <c r="G4" s="741" t="s">
        <v>766</v>
      </c>
      <c r="H4" s="741" t="s">
        <v>165</v>
      </c>
      <c r="I4" s="741" t="s">
        <v>768</v>
      </c>
      <c r="J4" s="741" t="s">
        <v>396</v>
      </c>
      <c r="K4" s="741" t="s">
        <v>770</v>
      </c>
      <c r="L4" s="741" t="s">
        <v>772</v>
      </c>
      <c r="M4" s="741" t="s">
        <v>774</v>
      </c>
      <c r="N4" s="741" t="s">
        <v>2076</v>
      </c>
      <c r="O4" s="741" t="s">
        <v>775</v>
      </c>
      <c r="P4" s="741" t="s">
        <v>740</v>
      </c>
      <c r="Q4" s="741" t="s">
        <v>1613</v>
      </c>
      <c r="R4" s="741" t="s">
        <v>777</v>
      </c>
      <c r="S4" s="741" t="s">
        <v>764</v>
      </c>
      <c r="T4" s="741"/>
      <c r="U4" s="742"/>
      <c r="V4" s="743"/>
      <c r="W4" s="744"/>
      <c r="X4" s="140"/>
      <c r="Z4" s="127"/>
      <c r="AA4" s="128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40"/>
      <c r="AT4" s="140"/>
      <c r="AU4" s="140"/>
    </row>
    <row r="5" spans="1:47" ht="15.75" thickBot="1">
      <c r="A5" s="73"/>
      <c r="B5" s="60"/>
      <c r="C5" s="61" t="s">
        <v>1012</v>
      </c>
      <c r="D5" s="62" t="s">
        <v>1013</v>
      </c>
      <c r="E5" s="63" t="s">
        <v>1014</v>
      </c>
      <c r="F5" s="63" t="s">
        <v>1015</v>
      </c>
      <c r="G5" s="63" t="s">
        <v>1016</v>
      </c>
      <c r="H5" s="63" t="s">
        <v>525</v>
      </c>
      <c r="I5" s="63" t="s">
        <v>526</v>
      </c>
      <c r="J5" s="63" t="s">
        <v>1415</v>
      </c>
      <c r="K5" s="63" t="s">
        <v>1118</v>
      </c>
      <c r="L5" s="63" t="s">
        <v>1126</v>
      </c>
      <c r="M5" s="63" t="s">
        <v>1127</v>
      </c>
      <c r="N5" s="63" t="s">
        <v>1128</v>
      </c>
      <c r="O5" s="63" t="s">
        <v>952</v>
      </c>
      <c r="P5" s="63" t="s">
        <v>955</v>
      </c>
      <c r="Q5" s="63" t="s">
        <v>956</v>
      </c>
      <c r="R5" s="63" t="s">
        <v>957</v>
      </c>
      <c r="S5" s="63" t="s">
        <v>958</v>
      </c>
      <c r="T5" s="63" t="s">
        <v>1518</v>
      </c>
      <c r="U5" s="64" t="s">
        <v>959</v>
      </c>
      <c r="V5" s="64" t="s">
        <v>960</v>
      </c>
      <c r="W5" s="64" t="s">
        <v>2080</v>
      </c>
      <c r="X5" s="142"/>
      <c r="Z5" s="91"/>
      <c r="AA5" s="141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</row>
    <row r="6" spans="1:47" ht="30.75" thickBot="1">
      <c r="A6" s="74" t="s">
        <v>778</v>
      </c>
      <c r="B6" s="65" t="s">
        <v>779</v>
      </c>
      <c r="C6" s="66">
        <v>7100</v>
      </c>
      <c r="D6" s="1041">
        <v>10</v>
      </c>
      <c r="E6" s="1041">
        <v>5</v>
      </c>
      <c r="F6" s="1041">
        <v>10</v>
      </c>
      <c r="G6" s="1041">
        <v>8</v>
      </c>
      <c r="H6" s="1041">
        <v>2</v>
      </c>
      <c r="I6" s="1041">
        <v>1</v>
      </c>
      <c r="J6" s="1041">
        <v>1</v>
      </c>
      <c r="K6" s="1041">
        <v>1</v>
      </c>
      <c r="L6" s="1041">
        <v>1</v>
      </c>
      <c r="M6" s="1041">
        <v>1</v>
      </c>
      <c r="N6" s="1041">
        <v>1</v>
      </c>
      <c r="O6" s="1041">
        <v>1</v>
      </c>
      <c r="P6" s="1041">
        <v>1</v>
      </c>
      <c r="Q6" s="1041">
        <v>10</v>
      </c>
      <c r="R6" s="1041">
        <v>5</v>
      </c>
      <c r="S6" s="1041">
        <v>20</v>
      </c>
      <c r="T6" s="1042">
        <v>5</v>
      </c>
      <c r="U6" s="1041">
        <v>5</v>
      </c>
      <c r="V6" s="1041">
        <v>5</v>
      </c>
      <c r="W6" s="1043">
        <f>F6+Q6-R6+S6-T6+V6+U6+P6+O6+N6+M6+L6+K6+J6+I6+H6+G6+D6+E6</f>
        <v>73</v>
      </c>
      <c r="X6" s="142"/>
      <c r="Z6" s="91"/>
      <c r="AA6" s="141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</row>
    <row r="7" spans="1:47" ht="30.75" thickBot="1">
      <c r="A7" s="74" t="s">
        <v>780</v>
      </c>
      <c r="B7" s="65" t="s">
        <v>781</v>
      </c>
      <c r="C7" s="68">
        <v>7110</v>
      </c>
      <c r="D7" s="1041">
        <v>15</v>
      </c>
      <c r="E7" s="1041">
        <v>8</v>
      </c>
      <c r="F7" s="1041">
        <v>15</v>
      </c>
      <c r="G7" s="1041">
        <v>10</v>
      </c>
      <c r="H7" s="1041">
        <v>4</v>
      </c>
      <c r="I7" s="1041">
        <v>2</v>
      </c>
      <c r="J7" s="1041">
        <v>2</v>
      </c>
      <c r="K7" s="1041">
        <v>2</v>
      </c>
      <c r="L7" s="1041">
        <v>2</v>
      </c>
      <c r="M7" s="1041">
        <v>2</v>
      </c>
      <c r="N7" s="1041">
        <v>2</v>
      </c>
      <c r="O7" s="1041">
        <v>2</v>
      </c>
      <c r="P7" s="1041">
        <v>2</v>
      </c>
      <c r="Q7" s="1041">
        <v>15</v>
      </c>
      <c r="R7" s="1041">
        <v>8</v>
      </c>
      <c r="S7" s="1044">
        <v>30</v>
      </c>
      <c r="T7" s="1042">
        <v>8</v>
      </c>
      <c r="U7" s="1044">
        <v>8</v>
      </c>
      <c r="V7" s="1044">
        <v>8</v>
      </c>
      <c r="W7" s="1043">
        <f t="shared" ref="W7:W48" si="0">F7+Q7-R7+S7-T7+V7+U7+P7+O7+N7+M7+L7+K7+J7+I7+H7+G7+D7+E7</f>
        <v>113</v>
      </c>
      <c r="X7" s="142"/>
      <c r="Z7" s="1241"/>
      <c r="AA7" s="1241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</row>
    <row r="8" spans="1:47" ht="15.75" thickBot="1">
      <c r="A8" s="1237" t="s">
        <v>1007</v>
      </c>
      <c r="B8" s="1238"/>
      <c r="C8" s="68">
        <v>7199</v>
      </c>
      <c r="D8" s="1045">
        <v>300</v>
      </c>
      <c r="E8" s="1045">
        <v>150</v>
      </c>
      <c r="F8" s="1045">
        <v>300</v>
      </c>
      <c r="G8" s="1045">
        <v>224</v>
      </c>
      <c r="H8" s="1045">
        <v>75</v>
      </c>
      <c r="I8" s="1045">
        <v>38</v>
      </c>
      <c r="J8" s="1045">
        <v>38</v>
      </c>
      <c r="K8" s="1045">
        <v>38</v>
      </c>
      <c r="L8" s="1045">
        <v>38</v>
      </c>
      <c r="M8" s="1045">
        <v>38</v>
      </c>
      <c r="N8" s="1045">
        <v>38</v>
      </c>
      <c r="O8" s="1045">
        <v>38</v>
      </c>
      <c r="P8" s="1045">
        <v>38</v>
      </c>
      <c r="Q8" s="1045">
        <v>300</v>
      </c>
      <c r="R8" s="1045">
        <v>150</v>
      </c>
      <c r="S8" s="1045">
        <v>45</v>
      </c>
      <c r="T8" s="1046">
        <v>150</v>
      </c>
      <c r="U8" s="1045">
        <v>150</v>
      </c>
      <c r="V8" s="1045">
        <v>135</v>
      </c>
      <c r="W8" s="1043">
        <f t="shared" si="0"/>
        <v>1683</v>
      </c>
      <c r="X8" s="142"/>
      <c r="Z8" s="91"/>
      <c r="AA8" s="141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</row>
    <row r="9" spans="1:47" ht="30.75" thickBot="1">
      <c r="A9" s="74" t="s">
        <v>782</v>
      </c>
      <c r="B9" s="65" t="s">
        <v>783</v>
      </c>
      <c r="C9" s="68">
        <v>7200</v>
      </c>
      <c r="D9" s="1041">
        <v>10</v>
      </c>
      <c r="E9" s="1041">
        <v>5</v>
      </c>
      <c r="F9" s="1041">
        <v>10</v>
      </c>
      <c r="G9" s="1041">
        <v>8</v>
      </c>
      <c r="H9" s="1041">
        <v>3</v>
      </c>
      <c r="I9" s="1041">
        <v>2</v>
      </c>
      <c r="J9" s="1041">
        <v>2</v>
      </c>
      <c r="K9" s="1041">
        <v>2</v>
      </c>
      <c r="L9" s="1041">
        <v>2</v>
      </c>
      <c r="M9" s="1041">
        <v>2</v>
      </c>
      <c r="N9" s="1041">
        <v>2</v>
      </c>
      <c r="O9" s="1041">
        <v>2</v>
      </c>
      <c r="P9" s="1041">
        <v>2</v>
      </c>
      <c r="Q9" s="1041">
        <v>10</v>
      </c>
      <c r="R9" s="1041">
        <v>10</v>
      </c>
      <c r="S9" s="1044">
        <v>1</v>
      </c>
      <c r="T9" s="1042">
        <v>5</v>
      </c>
      <c r="U9" s="1044">
        <v>5</v>
      </c>
      <c r="V9" s="1044">
        <v>5</v>
      </c>
      <c r="W9" s="1043">
        <f t="shared" si="0"/>
        <v>58</v>
      </c>
      <c r="X9" s="142"/>
      <c r="Z9" s="91"/>
      <c r="AA9" s="141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</row>
    <row r="10" spans="1:47" ht="15.75" thickBot="1">
      <c r="A10" s="74" t="s">
        <v>784</v>
      </c>
      <c r="B10" s="65" t="s">
        <v>783</v>
      </c>
      <c r="C10" s="68">
        <v>7210</v>
      </c>
      <c r="D10" s="1041">
        <v>22</v>
      </c>
      <c r="E10" s="1041">
        <v>5</v>
      </c>
      <c r="F10" s="1041">
        <v>10</v>
      </c>
      <c r="G10" s="1047"/>
      <c r="H10" s="1047"/>
      <c r="I10" s="1047"/>
      <c r="J10" s="1047"/>
      <c r="K10" s="1047"/>
      <c r="L10" s="1047"/>
      <c r="M10" s="1047"/>
      <c r="N10" s="1047"/>
      <c r="O10" s="1047"/>
      <c r="P10" s="1047"/>
      <c r="Q10" s="1047"/>
      <c r="R10" s="1047"/>
      <c r="S10" s="1048"/>
      <c r="T10" s="1042">
        <v>5</v>
      </c>
      <c r="U10" s="1048"/>
      <c r="V10" s="1044">
        <v>5</v>
      </c>
      <c r="W10" s="1043">
        <f t="shared" si="0"/>
        <v>37</v>
      </c>
      <c r="X10" s="142"/>
      <c r="Z10" s="91"/>
      <c r="AA10" s="141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</row>
    <row r="11" spans="1:47" ht="15.75" thickBot="1">
      <c r="A11" s="74" t="s">
        <v>785</v>
      </c>
      <c r="B11" s="65" t="s">
        <v>783</v>
      </c>
      <c r="C11" s="68">
        <v>7220</v>
      </c>
      <c r="D11" s="1041">
        <v>35</v>
      </c>
      <c r="E11" s="1041">
        <v>25</v>
      </c>
      <c r="F11" s="1041">
        <v>10</v>
      </c>
      <c r="G11" s="1047"/>
      <c r="H11" s="1047"/>
      <c r="I11" s="1047"/>
      <c r="J11" s="1047"/>
      <c r="K11" s="1047"/>
      <c r="L11" s="1047"/>
      <c r="M11" s="1047"/>
      <c r="N11" s="1047"/>
      <c r="O11" s="1047"/>
      <c r="P11" s="1047"/>
      <c r="Q11" s="1047"/>
      <c r="R11" s="1047"/>
      <c r="S11" s="1048"/>
      <c r="T11" s="1042">
        <v>5</v>
      </c>
      <c r="U11" s="1048"/>
      <c r="V11" s="1044">
        <v>5</v>
      </c>
      <c r="W11" s="1043">
        <f t="shared" si="0"/>
        <v>70</v>
      </c>
      <c r="X11" s="142"/>
      <c r="Z11" s="91"/>
      <c r="AA11" s="141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</row>
    <row r="12" spans="1:47" ht="15.75" thickBot="1">
      <c r="A12" s="74" t="s">
        <v>786</v>
      </c>
      <c r="B12" s="65" t="s">
        <v>783</v>
      </c>
      <c r="C12" s="68">
        <v>7230</v>
      </c>
      <c r="D12" s="1041">
        <v>16</v>
      </c>
      <c r="E12" s="1041">
        <v>5</v>
      </c>
      <c r="F12" s="1041">
        <v>20</v>
      </c>
      <c r="G12" s="1041">
        <v>8</v>
      </c>
      <c r="H12" s="1041">
        <v>3</v>
      </c>
      <c r="I12" s="1047"/>
      <c r="J12" s="1047"/>
      <c r="K12" s="1047"/>
      <c r="L12" s="1047"/>
      <c r="M12" s="1047"/>
      <c r="N12" s="1047"/>
      <c r="O12" s="1047"/>
      <c r="P12" s="1047"/>
      <c r="Q12" s="1041">
        <v>10</v>
      </c>
      <c r="R12" s="1047"/>
      <c r="S12" s="1048"/>
      <c r="T12" s="1042">
        <v>5</v>
      </c>
      <c r="U12" s="1048"/>
      <c r="V12" s="1044">
        <v>5</v>
      </c>
      <c r="W12" s="1043">
        <f t="shared" si="0"/>
        <v>62</v>
      </c>
      <c r="X12" s="142"/>
      <c r="Z12" s="91"/>
      <c r="AA12" s="141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</row>
    <row r="13" spans="1:47" ht="15.75" thickBot="1">
      <c r="A13" s="74" t="s">
        <v>787</v>
      </c>
      <c r="B13" s="65" t="s">
        <v>783</v>
      </c>
      <c r="C13" s="68">
        <v>7240</v>
      </c>
      <c r="D13" s="1041">
        <v>10</v>
      </c>
      <c r="E13" s="1041">
        <v>5</v>
      </c>
      <c r="F13" s="1041">
        <v>15</v>
      </c>
      <c r="G13" s="1041">
        <v>8</v>
      </c>
      <c r="H13" s="1041">
        <v>3</v>
      </c>
      <c r="I13" s="1047"/>
      <c r="J13" s="1047"/>
      <c r="K13" s="1047"/>
      <c r="L13" s="1047"/>
      <c r="M13" s="1047"/>
      <c r="N13" s="1047"/>
      <c r="O13" s="1047"/>
      <c r="P13" s="1047"/>
      <c r="Q13" s="1041">
        <v>10</v>
      </c>
      <c r="R13" s="1047"/>
      <c r="S13" s="1048"/>
      <c r="T13" s="1042">
        <v>5</v>
      </c>
      <c r="U13" s="1048"/>
      <c r="V13" s="1044">
        <v>5</v>
      </c>
      <c r="W13" s="1043">
        <f t="shared" si="0"/>
        <v>51</v>
      </c>
      <c r="X13" s="142"/>
      <c r="Z13" s="91"/>
      <c r="AA13" s="141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</row>
    <row r="14" spans="1:47" ht="15.75" thickBot="1">
      <c r="A14" s="74" t="s">
        <v>788</v>
      </c>
      <c r="B14" s="65" t="s">
        <v>783</v>
      </c>
      <c r="C14" s="68">
        <v>7250</v>
      </c>
      <c r="D14" s="1041">
        <v>11</v>
      </c>
      <c r="E14" s="1041">
        <v>5</v>
      </c>
      <c r="F14" s="1041">
        <v>5</v>
      </c>
      <c r="G14" s="1041">
        <v>8</v>
      </c>
      <c r="H14" s="1041">
        <v>3</v>
      </c>
      <c r="I14" s="1047"/>
      <c r="J14" s="1047"/>
      <c r="K14" s="1047"/>
      <c r="L14" s="1047"/>
      <c r="M14" s="1047"/>
      <c r="N14" s="1047"/>
      <c r="O14" s="1047"/>
      <c r="P14" s="1047"/>
      <c r="Q14" s="1041">
        <v>10</v>
      </c>
      <c r="R14" s="1047"/>
      <c r="S14" s="1048"/>
      <c r="T14" s="1042">
        <v>5</v>
      </c>
      <c r="U14" s="1048"/>
      <c r="V14" s="1044">
        <v>5</v>
      </c>
      <c r="W14" s="1043">
        <f t="shared" si="0"/>
        <v>42</v>
      </c>
      <c r="X14" s="142"/>
      <c r="Z14" s="91"/>
      <c r="AA14" s="141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</row>
    <row r="15" spans="1:47" ht="30.75" thickBot="1">
      <c r="A15" s="74" t="s">
        <v>789</v>
      </c>
      <c r="B15" s="65" t="s">
        <v>790</v>
      </c>
      <c r="C15" s="68">
        <v>7260</v>
      </c>
      <c r="D15" s="1041">
        <v>10</v>
      </c>
      <c r="E15" s="1041">
        <v>5</v>
      </c>
      <c r="F15" s="1041">
        <v>5</v>
      </c>
      <c r="G15" s="1041">
        <v>3</v>
      </c>
      <c r="H15" s="1041">
        <v>3</v>
      </c>
      <c r="I15" s="1047"/>
      <c r="J15" s="1047"/>
      <c r="K15" s="1047"/>
      <c r="L15" s="1047"/>
      <c r="M15" s="1047"/>
      <c r="N15" s="1047"/>
      <c r="O15" s="1047"/>
      <c r="P15" s="1047"/>
      <c r="Q15" s="1041">
        <v>10</v>
      </c>
      <c r="R15" s="1047"/>
      <c r="S15" s="1048"/>
      <c r="T15" s="1042">
        <v>5</v>
      </c>
      <c r="U15" s="1048"/>
      <c r="V15" s="1044">
        <v>5</v>
      </c>
      <c r="W15" s="1043">
        <f t="shared" si="0"/>
        <v>36</v>
      </c>
      <c r="X15" s="142"/>
      <c r="Z15" s="91"/>
      <c r="AA15" s="141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</row>
    <row r="16" spans="1:47" ht="15.75" thickBot="1">
      <c r="A16" s="74" t="s">
        <v>1519</v>
      </c>
      <c r="B16" s="65" t="s">
        <v>791</v>
      </c>
      <c r="C16" s="68">
        <v>7270</v>
      </c>
      <c r="D16" s="1047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7"/>
      <c r="P16" s="1047"/>
      <c r="Q16" s="1041">
        <v>16</v>
      </c>
      <c r="R16" s="1047"/>
      <c r="S16" s="1044">
        <v>729</v>
      </c>
      <c r="T16" s="1042">
        <v>5</v>
      </c>
      <c r="U16" s="1048"/>
      <c r="V16" s="1044">
        <v>20</v>
      </c>
      <c r="W16" s="1043">
        <f t="shared" si="0"/>
        <v>760</v>
      </c>
      <c r="X16" s="142"/>
      <c r="Z16" s="91"/>
      <c r="AA16" s="141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</row>
    <row r="17" spans="1:47" ht="15.75" thickBot="1">
      <c r="A17" s="74" t="s">
        <v>792</v>
      </c>
      <c r="B17" s="65" t="s">
        <v>793</v>
      </c>
      <c r="C17" s="68">
        <v>7280</v>
      </c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7"/>
      <c r="P17" s="1047"/>
      <c r="Q17" s="1041">
        <v>10</v>
      </c>
      <c r="R17" s="1041">
        <v>5</v>
      </c>
      <c r="S17" s="1048"/>
      <c r="T17" s="1042">
        <v>5</v>
      </c>
      <c r="U17" s="1048"/>
      <c r="V17" s="1048"/>
      <c r="W17" s="1043">
        <f t="shared" si="0"/>
        <v>0</v>
      </c>
      <c r="X17" s="142"/>
      <c r="Z17" s="91"/>
      <c r="AA17" s="141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</row>
    <row r="18" spans="1:47" ht="15.75" thickBot="1">
      <c r="A18" s="74" t="s">
        <v>794</v>
      </c>
      <c r="B18" s="65" t="s">
        <v>795</v>
      </c>
      <c r="C18" s="68">
        <v>7290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1">
        <v>10</v>
      </c>
      <c r="R18" s="1041">
        <v>20</v>
      </c>
      <c r="S18" s="1048"/>
      <c r="T18" s="1042">
        <v>5</v>
      </c>
      <c r="U18" s="1048"/>
      <c r="V18" s="1048"/>
      <c r="W18" s="1043">
        <f t="shared" si="0"/>
        <v>-15</v>
      </c>
      <c r="X18" s="142"/>
      <c r="Z18" s="91"/>
      <c r="AA18" s="141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</row>
    <row r="19" spans="1:47" ht="15.75" thickBot="1">
      <c r="A19" s="74" t="s">
        <v>796</v>
      </c>
      <c r="B19" s="65" t="s">
        <v>795</v>
      </c>
      <c r="C19" s="68">
        <v>7300</v>
      </c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4">
        <v>-10</v>
      </c>
      <c r="R19" s="1044">
        <v>-5</v>
      </c>
      <c r="S19" s="1048"/>
      <c r="T19" s="1042">
        <v>-5</v>
      </c>
      <c r="U19" s="1048"/>
      <c r="V19" s="1048"/>
      <c r="W19" s="1043">
        <f>F19+Q19-R19+S19-T19+V19+U19+P19+O19+N19+M19+L19+K19+J19+I19+H19+G19+D19+E19</f>
        <v>0</v>
      </c>
      <c r="X19" s="142"/>
      <c r="Z19" s="91"/>
      <c r="AA19" s="141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</row>
    <row r="20" spans="1:47" ht="15.75" thickBot="1">
      <c r="A20" s="74" t="s">
        <v>2237</v>
      </c>
      <c r="B20" s="65" t="s">
        <v>795</v>
      </c>
      <c r="C20" s="68">
        <v>7310</v>
      </c>
      <c r="D20" s="1047"/>
      <c r="E20" s="1047"/>
      <c r="F20" s="1047"/>
      <c r="G20" s="1047"/>
      <c r="H20" s="1047"/>
      <c r="I20" s="1047"/>
      <c r="J20" s="1047"/>
      <c r="K20" s="1047"/>
      <c r="L20" s="1047"/>
      <c r="M20" s="1047"/>
      <c r="N20" s="1047"/>
      <c r="O20" s="1047"/>
      <c r="P20" s="1047"/>
      <c r="Q20" s="1041">
        <v>10</v>
      </c>
      <c r="R20" s="1041">
        <v>25</v>
      </c>
      <c r="S20" s="1048"/>
      <c r="T20" s="1042">
        <v>5</v>
      </c>
      <c r="U20" s="1048"/>
      <c r="V20" s="1048"/>
      <c r="W20" s="1043">
        <f t="shared" si="0"/>
        <v>-20</v>
      </c>
      <c r="X20" s="142"/>
      <c r="Z20" s="91"/>
      <c r="AA20" s="141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</row>
    <row r="21" spans="1:47" ht="15.75" thickBot="1">
      <c r="A21" s="74" t="s">
        <v>2238</v>
      </c>
      <c r="B21" s="65" t="s">
        <v>795</v>
      </c>
      <c r="C21" s="68">
        <v>7320</v>
      </c>
      <c r="D21" s="1047"/>
      <c r="E21" s="1047"/>
      <c r="F21" s="1047"/>
      <c r="G21" s="1047"/>
      <c r="H21" s="1047"/>
      <c r="I21" s="1041">
        <v>2</v>
      </c>
      <c r="J21" s="1041">
        <v>2</v>
      </c>
      <c r="K21" s="1041">
        <v>2</v>
      </c>
      <c r="L21" s="1041">
        <v>2</v>
      </c>
      <c r="M21" s="1041">
        <v>2</v>
      </c>
      <c r="N21" s="1041">
        <v>2</v>
      </c>
      <c r="O21" s="1041">
        <v>2</v>
      </c>
      <c r="P21" s="1041">
        <v>2</v>
      </c>
      <c r="Q21" s="1041">
        <v>10</v>
      </c>
      <c r="R21" s="1047"/>
      <c r="S21" s="1048"/>
      <c r="T21" s="1042">
        <v>5</v>
      </c>
      <c r="U21" s="1044">
        <v>5</v>
      </c>
      <c r="V21" s="1044">
        <v>5</v>
      </c>
      <c r="W21" s="1043">
        <f t="shared" si="0"/>
        <v>31</v>
      </c>
      <c r="X21" s="142"/>
      <c r="Z21" s="91"/>
      <c r="AA21" s="141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</row>
    <row r="22" spans="1:47" ht="15.75" thickBot="1">
      <c r="A22" s="74" t="s">
        <v>2239</v>
      </c>
      <c r="B22" s="65" t="s">
        <v>795</v>
      </c>
      <c r="C22" s="68">
        <v>7330</v>
      </c>
      <c r="D22" s="1044">
        <v>10</v>
      </c>
      <c r="E22" s="1044">
        <v>10</v>
      </c>
      <c r="F22" s="1044">
        <v>15</v>
      </c>
      <c r="G22" s="1044">
        <v>13</v>
      </c>
      <c r="H22" s="1041">
        <v>3</v>
      </c>
      <c r="I22" s="1047"/>
      <c r="J22" s="1047"/>
      <c r="K22" s="1047"/>
      <c r="L22" s="1047"/>
      <c r="M22" s="1047"/>
      <c r="N22" s="1047"/>
      <c r="O22" s="1047"/>
      <c r="P22" s="1047"/>
      <c r="Q22" s="1041">
        <v>10</v>
      </c>
      <c r="R22" s="1047"/>
      <c r="S22" s="1048"/>
      <c r="T22" s="1042">
        <v>5</v>
      </c>
      <c r="U22" s="1048"/>
      <c r="V22" s="1044">
        <v>5</v>
      </c>
      <c r="W22" s="1043">
        <f t="shared" si="0"/>
        <v>61</v>
      </c>
      <c r="X22" s="142"/>
      <c r="Z22" s="91"/>
      <c r="AA22" s="141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</row>
    <row r="23" spans="1:47" ht="15.75" thickBot="1">
      <c r="A23" s="74" t="s">
        <v>2240</v>
      </c>
      <c r="B23" s="65" t="s">
        <v>795</v>
      </c>
      <c r="C23" s="68">
        <v>7350</v>
      </c>
      <c r="D23" s="1047"/>
      <c r="E23" s="1047"/>
      <c r="F23" s="1047"/>
      <c r="G23" s="1047"/>
      <c r="H23" s="1047"/>
      <c r="I23" s="1047"/>
      <c r="J23" s="1047"/>
      <c r="K23" s="1047"/>
      <c r="L23" s="1047"/>
      <c r="M23" s="1047"/>
      <c r="N23" s="1047"/>
      <c r="O23" s="1047"/>
      <c r="P23" s="1047"/>
      <c r="Q23" s="1041">
        <v>5</v>
      </c>
      <c r="R23" s="1041">
        <v>5</v>
      </c>
      <c r="S23" s="1048"/>
      <c r="T23" s="1042">
        <v>5</v>
      </c>
      <c r="U23" s="1048"/>
      <c r="V23" s="1044">
        <v>5</v>
      </c>
      <c r="W23" s="1043">
        <f t="shared" si="0"/>
        <v>0</v>
      </c>
      <c r="X23" s="142"/>
      <c r="Z23" s="91"/>
      <c r="AA23" s="141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</row>
    <row r="24" spans="1:47" ht="15.75" thickBot="1">
      <c r="A24" s="74" t="s">
        <v>2241</v>
      </c>
      <c r="B24" s="65" t="s">
        <v>795</v>
      </c>
      <c r="C24" s="68">
        <v>7360</v>
      </c>
      <c r="D24" s="1047"/>
      <c r="E24" s="1047"/>
      <c r="F24" s="1047"/>
      <c r="G24" s="1047"/>
      <c r="H24" s="1047"/>
      <c r="I24" s="1047"/>
      <c r="J24" s="1047"/>
      <c r="K24" s="1047"/>
      <c r="L24" s="1047"/>
      <c r="M24" s="1047"/>
      <c r="N24" s="1047"/>
      <c r="O24" s="1047"/>
      <c r="P24" s="1047"/>
      <c r="Q24" s="1041">
        <v>5</v>
      </c>
      <c r="R24" s="1047"/>
      <c r="S24" s="1044">
        <v>22</v>
      </c>
      <c r="T24" s="1042">
        <v>5</v>
      </c>
      <c r="U24" s="1048"/>
      <c r="V24" s="1044">
        <v>5</v>
      </c>
      <c r="W24" s="1043">
        <f t="shared" si="0"/>
        <v>27</v>
      </c>
      <c r="X24" s="142"/>
      <c r="Z24" s="91"/>
      <c r="AA24" s="141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</row>
    <row r="25" spans="1:47" ht="15.75" thickBot="1">
      <c r="A25" s="74" t="s">
        <v>2242</v>
      </c>
      <c r="B25" s="65" t="s">
        <v>795</v>
      </c>
      <c r="C25" s="68">
        <v>7370</v>
      </c>
      <c r="D25" s="1041">
        <v>24</v>
      </c>
      <c r="E25" s="1041">
        <v>12</v>
      </c>
      <c r="F25" s="1044">
        <v>1</v>
      </c>
      <c r="G25" s="1047"/>
      <c r="H25" s="1047"/>
      <c r="I25" s="1047"/>
      <c r="J25" s="1047"/>
      <c r="K25" s="1047"/>
      <c r="L25" s="1047"/>
      <c r="M25" s="1047"/>
      <c r="N25" s="1047"/>
      <c r="O25" s="1047"/>
      <c r="P25" s="1047"/>
      <c r="Q25" s="1041">
        <v>5</v>
      </c>
      <c r="R25" s="1041">
        <v>5</v>
      </c>
      <c r="S25" s="1048"/>
      <c r="T25" s="1042">
        <v>5</v>
      </c>
      <c r="U25" s="1048"/>
      <c r="V25" s="1044">
        <v>5</v>
      </c>
      <c r="W25" s="1043">
        <f t="shared" si="0"/>
        <v>37</v>
      </c>
      <c r="X25" s="142"/>
      <c r="Z25" s="91"/>
      <c r="AA25" s="141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</row>
    <row r="26" spans="1:47" ht="15.75" thickBot="1">
      <c r="A26" s="74" t="s">
        <v>2243</v>
      </c>
      <c r="B26" s="65" t="s">
        <v>795</v>
      </c>
      <c r="C26" s="68">
        <v>7380</v>
      </c>
      <c r="D26" s="1041">
        <v>2</v>
      </c>
      <c r="E26" s="1041">
        <v>1</v>
      </c>
      <c r="F26" s="1044">
        <v>9</v>
      </c>
      <c r="G26" s="1041">
        <v>8</v>
      </c>
      <c r="H26" s="1041">
        <v>3</v>
      </c>
      <c r="I26" s="1047"/>
      <c r="J26" s="1047"/>
      <c r="K26" s="1047"/>
      <c r="L26" s="1047"/>
      <c r="M26" s="1047"/>
      <c r="N26" s="1047"/>
      <c r="O26" s="1047"/>
      <c r="P26" s="1047"/>
      <c r="Q26" s="1041">
        <v>5</v>
      </c>
      <c r="R26" s="1041">
        <v>5</v>
      </c>
      <c r="S26" s="1048"/>
      <c r="T26" s="1042">
        <v>5</v>
      </c>
      <c r="U26" s="1048"/>
      <c r="V26" s="1044">
        <v>5</v>
      </c>
      <c r="W26" s="1043">
        <f t="shared" si="0"/>
        <v>23</v>
      </c>
      <c r="X26" s="142"/>
      <c r="Z26" s="91"/>
      <c r="AA26" s="141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</row>
    <row r="27" spans="1:47" ht="15.75" thickBot="1">
      <c r="A27" s="74" t="s">
        <v>2244</v>
      </c>
      <c r="B27" s="65" t="s">
        <v>2245</v>
      </c>
      <c r="C27" s="68">
        <v>7390</v>
      </c>
      <c r="D27" s="1041">
        <v>10</v>
      </c>
      <c r="E27" s="1041">
        <v>5</v>
      </c>
      <c r="F27" s="1041">
        <v>10</v>
      </c>
      <c r="G27" s="1047"/>
      <c r="H27" s="1047"/>
      <c r="I27" s="1047"/>
      <c r="J27" s="1047"/>
      <c r="K27" s="1047"/>
      <c r="L27" s="1047"/>
      <c r="M27" s="1047"/>
      <c r="N27" s="1047"/>
      <c r="O27" s="1047"/>
      <c r="P27" s="1047"/>
      <c r="Q27" s="1041">
        <v>5</v>
      </c>
      <c r="R27" s="1047"/>
      <c r="S27" s="1048"/>
      <c r="T27" s="1042">
        <v>5</v>
      </c>
      <c r="U27" s="1048"/>
      <c r="V27" s="1044">
        <v>5</v>
      </c>
      <c r="W27" s="1043">
        <f t="shared" si="0"/>
        <v>30</v>
      </c>
      <c r="X27" s="142"/>
      <c r="Z27" s="91"/>
      <c r="AA27" s="141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</row>
    <row r="28" spans="1:47" ht="15.75" thickBot="1">
      <c r="A28" s="74" t="s">
        <v>2246</v>
      </c>
      <c r="B28" s="65" t="s">
        <v>795</v>
      </c>
      <c r="C28" s="68">
        <v>7400</v>
      </c>
      <c r="D28" s="1041">
        <v>2</v>
      </c>
      <c r="E28" s="1041">
        <v>5</v>
      </c>
      <c r="F28" s="1041">
        <v>10</v>
      </c>
      <c r="G28" s="1047"/>
      <c r="H28" s="1047"/>
      <c r="I28" s="1047"/>
      <c r="J28" s="1047"/>
      <c r="K28" s="1047"/>
      <c r="L28" s="1047"/>
      <c r="M28" s="1047"/>
      <c r="N28" s="1047"/>
      <c r="O28" s="1047"/>
      <c r="P28" s="1047"/>
      <c r="Q28" s="1041">
        <v>5</v>
      </c>
      <c r="R28" s="1047"/>
      <c r="S28" s="1048"/>
      <c r="T28" s="1042">
        <v>5</v>
      </c>
      <c r="U28" s="1048"/>
      <c r="V28" s="1044">
        <v>5</v>
      </c>
      <c r="W28" s="1043">
        <f t="shared" si="0"/>
        <v>22</v>
      </c>
      <c r="X28" s="142"/>
      <c r="Z28" s="91"/>
      <c r="AA28" s="141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</row>
    <row r="29" spans="1:47" ht="15.75" thickBot="1">
      <c r="A29" s="74" t="s">
        <v>2247</v>
      </c>
      <c r="B29" s="65" t="s">
        <v>795</v>
      </c>
      <c r="C29" s="68">
        <v>7410</v>
      </c>
      <c r="D29" s="1047"/>
      <c r="E29" s="1047"/>
      <c r="F29" s="1047"/>
      <c r="G29" s="1047"/>
      <c r="H29" s="1047"/>
      <c r="I29" s="1041">
        <v>2</v>
      </c>
      <c r="J29" s="1041">
        <v>2</v>
      </c>
      <c r="K29" s="1041">
        <v>2</v>
      </c>
      <c r="L29" s="1041">
        <v>2</v>
      </c>
      <c r="M29" s="1041">
        <v>2</v>
      </c>
      <c r="N29" s="1041">
        <v>2</v>
      </c>
      <c r="O29" s="1041">
        <v>2</v>
      </c>
      <c r="P29" s="1047"/>
      <c r="Q29" s="1047"/>
      <c r="R29" s="1047"/>
      <c r="S29" s="1048"/>
      <c r="T29" s="1042">
        <v>5</v>
      </c>
      <c r="U29" s="1048"/>
      <c r="V29" s="1044">
        <v>5</v>
      </c>
      <c r="W29" s="1043">
        <f t="shared" si="0"/>
        <v>14</v>
      </c>
      <c r="X29" s="142"/>
      <c r="Z29" s="91"/>
      <c r="AA29" s="141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</row>
    <row r="30" spans="1:47" ht="30.75" thickBot="1">
      <c r="A30" s="74" t="s">
        <v>2248</v>
      </c>
      <c r="B30" s="65" t="s">
        <v>795</v>
      </c>
      <c r="C30" s="68">
        <v>7420</v>
      </c>
      <c r="D30" s="1041">
        <v>5</v>
      </c>
      <c r="E30" s="1041">
        <v>5</v>
      </c>
      <c r="F30" s="1041">
        <v>10</v>
      </c>
      <c r="G30" s="1041">
        <v>8</v>
      </c>
      <c r="H30" s="1041">
        <v>3</v>
      </c>
      <c r="I30" s="1047"/>
      <c r="J30" s="1047"/>
      <c r="K30" s="1047"/>
      <c r="L30" s="1047"/>
      <c r="M30" s="1047"/>
      <c r="N30" s="1047"/>
      <c r="O30" s="1047"/>
      <c r="P30" s="1047"/>
      <c r="Q30" s="1041">
        <v>10</v>
      </c>
      <c r="R30" s="1047"/>
      <c r="S30" s="1048"/>
      <c r="T30" s="1042">
        <v>5</v>
      </c>
      <c r="U30" s="1048"/>
      <c r="V30" s="1044">
        <v>5</v>
      </c>
      <c r="W30" s="1043">
        <f t="shared" si="0"/>
        <v>41</v>
      </c>
      <c r="X30" s="142"/>
      <c r="Z30" s="91"/>
      <c r="AA30" s="141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</row>
    <row r="31" spans="1:47" ht="30.75" thickBot="1">
      <c r="A31" s="74" t="s">
        <v>2249</v>
      </c>
      <c r="B31" s="65" t="s">
        <v>795</v>
      </c>
      <c r="C31" s="68">
        <v>7430</v>
      </c>
      <c r="D31" s="1041">
        <v>30</v>
      </c>
      <c r="E31" s="1041">
        <v>15</v>
      </c>
      <c r="F31" s="1041">
        <v>30</v>
      </c>
      <c r="G31" s="1041">
        <v>8</v>
      </c>
      <c r="H31" s="1041">
        <v>3</v>
      </c>
      <c r="I31" s="1047"/>
      <c r="J31" s="1047"/>
      <c r="K31" s="1047"/>
      <c r="L31" s="1047"/>
      <c r="M31" s="1047"/>
      <c r="N31" s="1047"/>
      <c r="O31" s="1047"/>
      <c r="P31" s="1047"/>
      <c r="Q31" s="1041">
        <v>25</v>
      </c>
      <c r="R31" s="1047"/>
      <c r="S31" s="1048"/>
      <c r="T31" s="1042">
        <v>5</v>
      </c>
      <c r="U31" s="1048"/>
      <c r="V31" s="1044">
        <v>5</v>
      </c>
      <c r="W31" s="1043">
        <f t="shared" si="0"/>
        <v>111</v>
      </c>
      <c r="X31" s="142"/>
      <c r="Z31" s="91"/>
      <c r="AA31" s="141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</row>
    <row r="32" spans="1:47" ht="30.75" thickBot="1">
      <c r="A32" s="74" t="s">
        <v>2058</v>
      </c>
      <c r="B32" s="65" t="s">
        <v>2059</v>
      </c>
      <c r="C32" s="68">
        <v>7440</v>
      </c>
      <c r="D32" s="1047"/>
      <c r="E32" s="1047"/>
      <c r="F32" s="1047"/>
      <c r="G32" s="1047"/>
      <c r="H32" s="1047"/>
      <c r="I32" s="1047"/>
      <c r="J32" s="1047"/>
      <c r="K32" s="1041">
        <v>2</v>
      </c>
      <c r="L32" s="1047"/>
      <c r="M32" s="1047"/>
      <c r="N32" s="1041">
        <v>2</v>
      </c>
      <c r="O32" s="1047"/>
      <c r="P32" s="1041">
        <v>2</v>
      </c>
      <c r="Q32" s="1047"/>
      <c r="R32" s="1047"/>
      <c r="S32" s="1048"/>
      <c r="T32" s="1042">
        <v>1</v>
      </c>
      <c r="U32" s="1044">
        <v>5</v>
      </c>
      <c r="V32" s="1044">
        <v>5</v>
      </c>
      <c r="W32" s="1043">
        <f t="shared" si="0"/>
        <v>15</v>
      </c>
      <c r="X32" s="142"/>
      <c r="Z32" s="91"/>
      <c r="AA32" s="141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</row>
    <row r="33" spans="1:47" ht="15.75" thickBot="1">
      <c r="A33" s="74" t="s">
        <v>2060</v>
      </c>
      <c r="B33" s="65" t="s">
        <v>795</v>
      </c>
      <c r="C33" s="68">
        <v>7450</v>
      </c>
      <c r="D33" s="69"/>
      <c r="E33" s="69"/>
      <c r="F33" s="69"/>
      <c r="G33" s="69"/>
      <c r="H33" s="69"/>
      <c r="I33" s="1041">
        <v>2</v>
      </c>
      <c r="J33" s="1041">
        <v>2</v>
      </c>
      <c r="K33" s="1041">
        <v>2</v>
      </c>
      <c r="L33" s="1041">
        <v>2</v>
      </c>
      <c r="M33" s="1041">
        <v>2</v>
      </c>
      <c r="N33" s="1041">
        <v>2</v>
      </c>
      <c r="O33" s="1041">
        <v>2</v>
      </c>
      <c r="P33" s="1041">
        <v>3</v>
      </c>
      <c r="Q33" s="547">
        <v>1</v>
      </c>
      <c r="R33" s="69"/>
      <c r="S33" s="1044">
        <v>1</v>
      </c>
      <c r="T33" s="1042">
        <v>4</v>
      </c>
      <c r="U33" s="1044">
        <v>5</v>
      </c>
      <c r="V33" s="1044">
        <v>5</v>
      </c>
      <c r="W33" s="1043">
        <f t="shared" si="0"/>
        <v>25</v>
      </c>
      <c r="X33" s="142"/>
      <c r="Z33" s="91"/>
      <c r="AA33" s="141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</row>
    <row r="34" spans="1:47" ht="15.75" thickBot="1">
      <c r="A34" s="74" t="s">
        <v>2061</v>
      </c>
      <c r="B34" s="65" t="s">
        <v>795</v>
      </c>
      <c r="C34" s="68">
        <v>7470</v>
      </c>
      <c r="D34" s="1047"/>
      <c r="E34" s="1047"/>
      <c r="F34" s="1047"/>
      <c r="G34" s="1048"/>
      <c r="H34" s="1047"/>
      <c r="I34" s="1047"/>
      <c r="J34" s="1047"/>
      <c r="K34" s="1047"/>
      <c r="L34" s="1047"/>
      <c r="M34" s="1047"/>
      <c r="N34" s="1041">
        <v>1</v>
      </c>
      <c r="O34" s="1047"/>
      <c r="P34" s="1047"/>
      <c r="Q34" s="1047"/>
      <c r="R34" s="1047"/>
      <c r="S34" s="1044">
        <v>10</v>
      </c>
      <c r="T34" s="1042">
        <v>5</v>
      </c>
      <c r="U34" s="1044">
        <v>5</v>
      </c>
      <c r="V34" s="1044">
        <v>5</v>
      </c>
      <c r="W34" s="1043">
        <f t="shared" si="0"/>
        <v>16</v>
      </c>
      <c r="X34" s="142"/>
      <c r="Z34" s="91"/>
      <c r="AA34" s="141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</row>
    <row r="35" spans="1:47" ht="15.75" thickBot="1">
      <c r="A35" s="74" t="s">
        <v>2063</v>
      </c>
      <c r="B35" s="65" t="s">
        <v>795</v>
      </c>
      <c r="C35" s="68">
        <v>7480</v>
      </c>
      <c r="D35" s="1047"/>
      <c r="E35" s="1047"/>
      <c r="F35" s="1047"/>
      <c r="G35" s="1048"/>
      <c r="H35" s="1047"/>
      <c r="I35" s="1041">
        <v>2</v>
      </c>
      <c r="J35" s="1041">
        <v>2</v>
      </c>
      <c r="K35" s="1047"/>
      <c r="L35" s="1047"/>
      <c r="M35" s="1047"/>
      <c r="N35" s="1047"/>
      <c r="O35" s="1047"/>
      <c r="P35" s="1047"/>
      <c r="Q35" s="1047"/>
      <c r="R35" s="1047"/>
      <c r="S35" s="1044">
        <v>1</v>
      </c>
      <c r="T35" s="1042">
        <v>5</v>
      </c>
      <c r="U35" s="1044">
        <v>5</v>
      </c>
      <c r="V35" s="1044">
        <v>5</v>
      </c>
      <c r="W35" s="1043">
        <f t="shared" si="0"/>
        <v>10</v>
      </c>
      <c r="X35" s="142"/>
      <c r="Z35" s="91"/>
      <c r="AA35" s="141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</row>
    <row r="36" spans="1:47" ht="15.75" thickBot="1">
      <c r="A36" s="74" t="s">
        <v>1502</v>
      </c>
      <c r="B36" s="65" t="s">
        <v>795</v>
      </c>
      <c r="C36" s="68">
        <v>7490</v>
      </c>
      <c r="D36" s="1047"/>
      <c r="E36" s="1047"/>
      <c r="F36" s="1047"/>
      <c r="G36" s="1048"/>
      <c r="H36" s="1047"/>
      <c r="I36" s="1047"/>
      <c r="J36" s="1047"/>
      <c r="K36" s="1047"/>
      <c r="L36" s="1041">
        <v>1</v>
      </c>
      <c r="M36" s="1047"/>
      <c r="N36" s="1047"/>
      <c r="O36" s="1047"/>
      <c r="P36" s="1047"/>
      <c r="Q36" s="1047"/>
      <c r="R36" s="1047"/>
      <c r="S36" s="1044">
        <v>1</v>
      </c>
      <c r="T36" s="1042">
        <v>4</v>
      </c>
      <c r="U36" s="1044">
        <v>4</v>
      </c>
      <c r="V36" s="1044">
        <v>4</v>
      </c>
      <c r="W36" s="1043">
        <f t="shared" si="0"/>
        <v>6</v>
      </c>
      <c r="X36" s="142"/>
      <c r="Z36" s="91"/>
      <c r="AA36" s="141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</row>
    <row r="37" spans="1:47" ht="15.75" thickBot="1">
      <c r="A37" s="74" t="s">
        <v>1503</v>
      </c>
      <c r="B37" s="65" t="s">
        <v>1504</v>
      </c>
      <c r="C37" s="68">
        <v>7500</v>
      </c>
      <c r="D37" s="1041">
        <v>13</v>
      </c>
      <c r="E37" s="1041">
        <v>14</v>
      </c>
      <c r="F37" s="1041">
        <v>27</v>
      </c>
      <c r="G37" s="1044">
        <v>16</v>
      </c>
      <c r="H37" s="1041">
        <v>9</v>
      </c>
      <c r="I37" s="1047"/>
      <c r="J37" s="1047"/>
      <c r="K37" s="1047"/>
      <c r="L37" s="1047"/>
      <c r="M37" s="1047"/>
      <c r="N37" s="1047"/>
      <c r="O37" s="1047"/>
      <c r="P37" s="1047"/>
      <c r="Q37" s="1041">
        <v>18</v>
      </c>
      <c r="R37" s="1047"/>
      <c r="S37" s="1048"/>
      <c r="T37" s="1042">
        <v>4</v>
      </c>
      <c r="U37" s="1048"/>
      <c r="V37" s="1044">
        <v>4</v>
      </c>
      <c r="W37" s="1043">
        <f t="shared" si="0"/>
        <v>97</v>
      </c>
      <c r="X37" s="142"/>
      <c r="Z37" s="91"/>
      <c r="AA37" s="141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</row>
    <row r="38" spans="1:47" ht="15.75" thickBot="1">
      <c r="A38" s="74" t="s">
        <v>1505</v>
      </c>
      <c r="B38" s="65" t="s">
        <v>1506</v>
      </c>
      <c r="C38" s="68">
        <v>7510</v>
      </c>
      <c r="D38" s="1047"/>
      <c r="E38" s="1047"/>
      <c r="F38" s="1047"/>
      <c r="G38" s="1048"/>
      <c r="H38" s="1047"/>
      <c r="I38" s="1047"/>
      <c r="J38" s="1047"/>
      <c r="K38" s="1047"/>
      <c r="L38" s="1047"/>
      <c r="M38" s="1047"/>
      <c r="N38" s="1047"/>
      <c r="O38" s="1047"/>
      <c r="P38" s="1047"/>
      <c r="Q38" s="1041">
        <v>18</v>
      </c>
      <c r="R38" s="1047"/>
      <c r="S38" s="1044">
        <v>1</v>
      </c>
      <c r="T38" s="1042">
        <v>4</v>
      </c>
      <c r="U38" s="1044">
        <v>4</v>
      </c>
      <c r="V38" s="1044">
        <v>4</v>
      </c>
      <c r="W38" s="1043">
        <f t="shared" si="0"/>
        <v>23</v>
      </c>
      <c r="X38" s="142"/>
      <c r="Z38" s="91"/>
      <c r="AA38" s="141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</row>
    <row r="39" spans="1:47" ht="15.75" thickBot="1">
      <c r="A39" s="745" t="s">
        <v>1525</v>
      </c>
      <c r="B39" s="65" t="s">
        <v>987</v>
      </c>
      <c r="C39" s="68">
        <v>7520</v>
      </c>
      <c r="D39" s="1047"/>
      <c r="E39" s="1047"/>
      <c r="F39" s="1047"/>
      <c r="G39" s="1048"/>
      <c r="H39" s="1047"/>
      <c r="I39" s="1047"/>
      <c r="J39" s="1047"/>
      <c r="K39" s="1041">
        <v>1</v>
      </c>
      <c r="L39" s="1047"/>
      <c r="M39" s="1041">
        <v>1</v>
      </c>
      <c r="N39" s="1047"/>
      <c r="O39" s="1047"/>
      <c r="P39" s="1047"/>
      <c r="Q39" s="1047"/>
      <c r="R39" s="1047"/>
      <c r="S39" s="1048"/>
      <c r="T39" s="1042">
        <v>4</v>
      </c>
      <c r="U39" s="1044">
        <v>4</v>
      </c>
      <c r="V39" s="1044">
        <v>4</v>
      </c>
      <c r="W39" s="1043">
        <f t="shared" si="0"/>
        <v>6</v>
      </c>
      <c r="X39" s="142"/>
      <c r="Z39" s="91"/>
      <c r="AA39" s="141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</row>
    <row r="40" spans="1:47" ht="15.75" thickBot="1">
      <c r="A40" s="74" t="s">
        <v>988</v>
      </c>
      <c r="B40" s="65" t="s">
        <v>989</v>
      </c>
      <c r="C40" s="68">
        <v>7530</v>
      </c>
      <c r="D40" s="1047"/>
      <c r="E40" s="1047"/>
      <c r="F40" s="1047"/>
      <c r="G40" s="1048"/>
      <c r="H40" s="1047"/>
      <c r="I40" s="1047"/>
      <c r="J40" s="1047"/>
      <c r="K40" s="1041">
        <v>1</v>
      </c>
      <c r="L40" s="1047"/>
      <c r="M40" s="1041">
        <v>1</v>
      </c>
      <c r="N40" s="1047"/>
      <c r="O40" s="1047"/>
      <c r="P40" s="1047"/>
      <c r="Q40" s="1047"/>
      <c r="R40" s="1047"/>
      <c r="S40" s="1044">
        <v>1</v>
      </c>
      <c r="T40" s="1042">
        <v>4</v>
      </c>
      <c r="U40" s="1044">
        <v>4</v>
      </c>
      <c r="V40" s="1044">
        <v>4</v>
      </c>
      <c r="W40" s="1043">
        <f t="shared" si="0"/>
        <v>7</v>
      </c>
      <c r="X40" s="142"/>
      <c r="Z40" s="91"/>
      <c r="AA40" s="141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</row>
    <row r="41" spans="1:47" ht="30.75" thickBot="1">
      <c r="A41" s="74" t="s">
        <v>990</v>
      </c>
      <c r="B41" s="65" t="s">
        <v>989</v>
      </c>
      <c r="C41" s="68">
        <v>7540</v>
      </c>
      <c r="D41" s="1047"/>
      <c r="E41" s="1047"/>
      <c r="F41" s="1047"/>
      <c r="G41" s="1048"/>
      <c r="H41" s="1047"/>
      <c r="I41" s="1047"/>
      <c r="J41" s="1047"/>
      <c r="K41" s="1047"/>
      <c r="L41" s="1047"/>
      <c r="M41" s="1041">
        <v>1</v>
      </c>
      <c r="N41" s="1047"/>
      <c r="O41" s="1047"/>
      <c r="P41" s="1047"/>
      <c r="Q41" s="1047"/>
      <c r="R41" s="1047"/>
      <c r="S41" s="1048"/>
      <c r="T41" s="1042">
        <v>4</v>
      </c>
      <c r="U41" s="1044">
        <v>4</v>
      </c>
      <c r="V41" s="1044">
        <v>4</v>
      </c>
      <c r="W41" s="1043">
        <f t="shared" si="0"/>
        <v>5</v>
      </c>
      <c r="X41" s="142"/>
      <c r="Z41" s="91"/>
      <c r="AA41" s="141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</row>
    <row r="42" spans="1:47" ht="30.75" thickBot="1">
      <c r="A42" s="74" t="s">
        <v>2064</v>
      </c>
      <c r="B42" s="65" t="s">
        <v>989</v>
      </c>
      <c r="C42" s="68">
        <v>7550</v>
      </c>
      <c r="D42" s="1047"/>
      <c r="E42" s="1047"/>
      <c r="F42" s="1047"/>
      <c r="G42" s="1048"/>
      <c r="H42" s="1047"/>
      <c r="I42" s="1047"/>
      <c r="J42" s="1047"/>
      <c r="K42" s="1047"/>
      <c r="L42" s="1047"/>
      <c r="M42" s="1041">
        <v>1</v>
      </c>
      <c r="N42" s="1047"/>
      <c r="O42" s="1047"/>
      <c r="P42" s="1047"/>
      <c r="Q42" s="1047"/>
      <c r="R42" s="1047"/>
      <c r="S42" s="1048"/>
      <c r="T42" s="1042">
        <v>3</v>
      </c>
      <c r="U42" s="1044">
        <v>3</v>
      </c>
      <c r="V42" s="1044">
        <v>4</v>
      </c>
      <c r="W42" s="1043">
        <f t="shared" si="0"/>
        <v>5</v>
      </c>
      <c r="X42" s="142"/>
      <c r="Z42" s="91"/>
      <c r="AA42" s="141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</row>
    <row r="43" spans="1:47" ht="30.75" thickBot="1">
      <c r="A43" s="74" t="s">
        <v>2065</v>
      </c>
      <c r="B43" s="65" t="s">
        <v>989</v>
      </c>
      <c r="C43" s="68">
        <v>7560</v>
      </c>
      <c r="D43" s="1047"/>
      <c r="E43" s="1047"/>
      <c r="F43" s="1047"/>
      <c r="G43" s="1048"/>
      <c r="H43" s="1047"/>
      <c r="I43" s="1047"/>
      <c r="J43" s="1047"/>
      <c r="K43" s="1047"/>
      <c r="L43" s="1047"/>
      <c r="M43" s="1041">
        <v>1</v>
      </c>
      <c r="N43" s="1047"/>
      <c r="O43" s="1047"/>
      <c r="P43" s="1047"/>
      <c r="Q43" s="1047"/>
      <c r="R43" s="1047"/>
      <c r="S43" s="1048"/>
      <c r="T43" s="1042">
        <v>3</v>
      </c>
      <c r="U43" s="1044">
        <v>2</v>
      </c>
      <c r="V43" s="1044">
        <v>2</v>
      </c>
      <c r="W43" s="1043">
        <f t="shared" si="0"/>
        <v>2</v>
      </c>
      <c r="X43" s="142"/>
      <c r="Z43" s="91"/>
      <c r="AA43" s="141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</row>
    <row r="44" spans="1:47" ht="30.75" thickBot="1">
      <c r="A44" s="74" t="s">
        <v>2066</v>
      </c>
      <c r="B44" s="65" t="s">
        <v>2067</v>
      </c>
      <c r="C44" s="68">
        <v>7570</v>
      </c>
      <c r="D44" s="1047"/>
      <c r="E44" s="1047"/>
      <c r="F44" s="1047"/>
      <c r="G44" s="1048"/>
      <c r="H44" s="1047"/>
      <c r="I44" s="1047"/>
      <c r="J44" s="1047"/>
      <c r="K44" s="1047"/>
      <c r="L44" s="1047"/>
      <c r="M44" s="1041">
        <v>1</v>
      </c>
      <c r="N44" s="1047"/>
      <c r="O44" s="1047"/>
      <c r="P44" s="1047"/>
      <c r="Q44" s="1047"/>
      <c r="R44" s="1047"/>
      <c r="S44" s="1048"/>
      <c r="T44" s="1042">
        <v>3</v>
      </c>
      <c r="U44" s="1044">
        <v>2</v>
      </c>
      <c r="V44" s="1044">
        <v>2</v>
      </c>
      <c r="W44" s="1043">
        <f t="shared" si="0"/>
        <v>2</v>
      </c>
      <c r="X44" s="142"/>
      <c r="Z44" s="91"/>
      <c r="AA44" s="141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</row>
    <row r="45" spans="1:47" ht="15.75" thickBot="1">
      <c r="A45" s="74" t="s">
        <v>2068</v>
      </c>
      <c r="B45" s="65" t="s">
        <v>2069</v>
      </c>
      <c r="C45" s="68">
        <v>7580</v>
      </c>
      <c r="D45" s="69"/>
      <c r="E45" s="69"/>
      <c r="F45" s="69"/>
      <c r="G45" s="69"/>
      <c r="H45" s="69"/>
      <c r="I45" s="547">
        <v>1</v>
      </c>
      <c r="J45" s="329">
        <v>1</v>
      </c>
      <c r="K45" s="69"/>
      <c r="L45" s="69"/>
      <c r="M45" s="69"/>
      <c r="N45" s="69"/>
      <c r="O45" s="69"/>
      <c r="P45" s="69"/>
      <c r="Q45" s="1041">
        <v>16</v>
      </c>
      <c r="R45" s="1047"/>
      <c r="S45" s="1044">
        <v>1</v>
      </c>
      <c r="T45" s="1042">
        <v>3</v>
      </c>
      <c r="U45" s="1044">
        <v>2</v>
      </c>
      <c r="V45" s="1044">
        <v>2</v>
      </c>
      <c r="W45" s="1043">
        <f t="shared" si="0"/>
        <v>20</v>
      </c>
      <c r="X45" s="142"/>
      <c r="Z45" s="91"/>
      <c r="AA45" s="141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</row>
    <row r="46" spans="1:47" ht="15.75" thickBot="1">
      <c r="A46" s="74" t="s">
        <v>2070</v>
      </c>
      <c r="B46" s="65" t="s">
        <v>2069</v>
      </c>
      <c r="C46" s="68">
        <v>7590</v>
      </c>
      <c r="D46" s="1047"/>
      <c r="E46" s="1047"/>
      <c r="F46" s="1047"/>
      <c r="G46" s="1048"/>
      <c r="H46" s="1047"/>
      <c r="I46" s="1047"/>
      <c r="J46" s="1047"/>
      <c r="K46" s="1047"/>
      <c r="L46" s="1047"/>
      <c r="M46" s="1047"/>
      <c r="N46" s="1047"/>
      <c r="O46" s="1041">
        <v>1</v>
      </c>
      <c r="P46" s="1047"/>
      <c r="Q46" s="1047"/>
      <c r="R46" s="1047"/>
      <c r="S46" s="1048"/>
      <c r="T46" s="1042">
        <v>3</v>
      </c>
      <c r="U46" s="1044">
        <v>2</v>
      </c>
      <c r="V46" s="1044">
        <v>2</v>
      </c>
      <c r="W46" s="1043">
        <f t="shared" si="0"/>
        <v>2</v>
      </c>
      <c r="X46" s="142"/>
      <c r="Z46" s="91"/>
      <c r="AA46" s="141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</row>
    <row r="47" spans="1:47" ht="15.75" thickBot="1">
      <c r="A47" s="74" t="s">
        <v>2071</v>
      </c>
      <c r="B47" s="65" t="s">
        <v>2067</v>
      </c>
      <c r="C47" s="68">
        <v>7600</v>
      </c>
      <c r="D47" s="1047"/>
      <c r="E47" s="1047"/>
      <c r="F47" s="1047"/>
      <c r="G47" s="1048"/>
      <c r="H47" s="1047"/>
      <c r="I47" s="1047"/>
      <c r="J47" s="1047"/>
      <c r="K47" s="1047"/>
      <c r="L47" s="1047"/>
      <c r="M47" s="1047"/>
      <c r="N47" s="1047"/>
      <c r="O47" s="1041">
        <v>1</v>
      </c>
      <c r="P47" s="1047"/>
      <c r="Q47" s="1047"/>
      <c r="R47" s="1047"/>
      <c r="S47" s="1048"/>
      <c r="T47" s="1042">
        <v>3</v>
      </c>
      <c r="U47" s="1044">
        <v>2</v>
      </c>
      <c r="V47" s="1044">
        <v>2</v>
      </c>
      <c r="W47" s="1043">
        <f t="shared" si="0"/>
        <v>2</v>
      </c>
      <c r="X47" s="142"/>
      <c r="Z47" s="91"/>
      <c r="AA47" s="141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</row>
    <row r="48" spans="1:47" ht="15.75" thickBot="1">
      <c r="A48" s="74" t="s">
        <v>2072</v>
      </c>
      <c r="B48" s="65" t="s">
        <v>2073</v>
      </c>
      <c r="C48" s="68">
        <v>7610</v>
      </c>
      <c r="D48" s="1041">
        <v>18</v>
      </c>
      <c r="E48" s="1041">
        <v>4</v>
      </c>
      <c r="F48" s="1041">
        <v>13</v>
      </c>
      <c r="G48" s="1044">
        <v>42</v>
      </c>
      <c r="H48" s="1041">
        <v>13</v>
      </c>
      <c r="I48" s="1044">
        <v>1</v>
      </c>
      <c r="J48" s="1044">
        <v>1</v>
      </c>
      <c r="K48" s="1044">
        <v>0</v>
      </c>
      <c r="L48" s="1041">
        <v>3</v>
      </c>
      <c r="M48" s="1044">
        <v>-2</v>
      </c>
      <c r="N48" s="1041">
        <v>3</v>
      </c>
      <c r="O48" s="1041">
        <v>2</v>
      </c>
      <c r="P48" s="1041">
        <v>3</v>
      </c>
      <c r="Q48" s="1044">
        <v>16</v>
      </c>
      <c r="R48" s="1044">
        <v>20</v>
      </c>
      <c r="S48" s="1044">
        <v>-9</v>
      </c>
      <c r="T48" s="1042">
        <v>-2</v>
      </c>
      <c r="U48" s="1044">
        <v>-3</v>
      </c>
      <c r="V48" s="1044">
        <v>-3</v>
      </c>
      <c r="W48" s="1043">
        <f t="shared" si="0"/>
        <v>84</v>
      </c>
      <c r="X48" s="142"/>
      <c r="Z48" s="91"/>
      <c r="AA48" s="141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</row>
    <row r="49" spans="1:51" ht="15.75" thickBot="1">
      <c r="A49" s="1237" t="s">
        <v>2074</v>
      </c>
      <c r="B49" s="1238"/>
      <c r="C49" s="70">
        <v>7699</v>
      </c>
      <c r="D49" s="1089">
        <f t="shared" ref="D49:V49" si="1">D8+SUM(D9:D13)-SUM(D14:D15)+D16-D17+D18+D19+SUM(D20:D22)-SUM(D23:D28)+D29-D30+SUM(D31:D33)-D34+SUM(D35:D48)</f>
        <v>400</v>
      </c>
      <c r="E49" s="1089">
        <f t="shared" si="1"/>
        <v>200</v>
      </c>
      <c r="F49" s="1089">
        <f t="shared" si="1"/>
        <v>400</v>
      </c>
      <c r="G49" s="1089">
        <f t="shared" si="1"/>
        <v>300</v>
      </c>
      <c r="H49" s="1089">
        <f t="shared" si="1"/>
        <v>100</v>
      </c>
      <c r="I49" s="1089">
        <f t="shared" si="1"/>
        <v>50</v>
      </c>
      <c r="J49" s="1089">
        <f t="shared" si="1"/>
        <v>50</v>
      </c>
      <c r="K49" s="1089">
        <f t="shared" si="1"/>
        <v>50</v>
      </c>
      <c r="L49" s="1089">
        <f t="shared" si="1"/>
        <v>50</v>
      </c>
      <c r="M49" s="1089">
        <f t="shared" si="1"/>
        <v>50</v>
      </c>
      <c r="N49" s="1089">
        <f t="shared" si="1"/>
        <v>50</v>
      </c>
      <c r="O49" s="1089">
        <f t="shared" si="1"/>
        <v>50</v>
      </c>
      <c r="P49" s="1089">
        <f t="shared" si="1"/>
        <v>50</v>
      </c>
      <c r="Q49" s="1089">
        <f t="shared" si="1"/>
        <v>400</v>
      </c>
      <c r="R49" s="1089">
        <f t="shared" si="1"/>
        <v>200</v>
      </c>
      <c r="S49" s="1089">
        <f t="shared" si="1"/>
        <v>740</v>
      </c>
      <c r="T49" s="1089">
        <f t="shared" si="1"/>
        <v>200</v>
      </c>
      <c r="U49" s="1089">
        <f t="shared" si="1"/>
        <v>200</v>
      </c>
      <c r="V49" s="1089">
        <f t="shared" si="1"/>
        <v>200</v>
      </c>
      <c r="W49" s="1089">
        <f>W8+SUM(W9:W13)-SUM(W14:W15)+W16-W17+W18+W19+SUM(W20:W22)-SUM(W23:W28)+W29-W30+SUM(W31:W33)-W34+SUM(W35:W48)</f>
        <v>2940</v>
      </c>
      <c r="X49" s="142"/>
      <c r="Z49" s="1241"/>
      <c r="AA49" s="1241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</row>
    <row r="50" spans="1:51" ht="15">
      <c r="A50" s="730"/>
      <c r="B50" s="279"/>
      <c r="C50" s="279"/>
      <c r="D50" s="506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984">
        <f>SUM(D49:Q49)-R49+S49-T49+U49+V49</f>
        <v>2940</v>
      </c>
      <c r="X50" s="279"/>
      <c r="Z50" s="75"/>
      <c r="AU50" s="143"/>
    </row>
    <row r="51" spans="1:51" ht="15.75">
      <c r="A51" s="751"/>
      <c r="B51" s="142"/>
      <c r="C51" s="142"/>
      <c r="D51" s="125"/>
      <c r="E51" s="126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583"/>
      <c r="Y51" s="143"/>
      <c r="Z51" s="129"/>
      <c r="AA51" s="130"/>
      <c r="AB51" s="131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43"/>
      <c r="AX51" s="143"/>
      <c r="AY51" s="143"/>
    </row>
    <row r="54" spans="1:51" s="807" customFormat="1" ht="15">
      <c r="A54" s="801"/>
      <c r="B54" s="1109"/>
      <c r="C54" s="802">
        <v>10</v>
      </c>
      <c r="D54" s="803" t="b">
        <f>W6=(SUM(D6:Q6))-R6+S6-T6+U6+V6</f>
        <v>1</v>
      </c>
      <c r="E54" s="804" t="s">
        <v>14</v>
      </c>
      <c r="F54" s="805"/>
      <c r="G54" s="805"/>
      <c r="H54" s="805"/>
      <c r="I54" s="805"/>
      <c r="J54" s="805"/>
      <c r="K54" s="805"/>
      <c r="L54" s="805"/>
      <c r="M54" s="805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06"/>
      <c r="AK54" s="806"/>
    </row>
    <row r="55" spans="1:51" s="808" customFormat="1" ht="15">
      <c r="A55" s="801"/>
      <c r="B55" s="1109"/>
      <c r="C55" s="802">
        <v>20</v>
      </c>
      <c r="D55" s="803" t="b">
        <f t="shared" ref="D55:D81" si="2">W7=(SUM(D7:Q7))-R7+S7-T7+U7+V7</f>
        <v>1</v>
      </c>
      <c r="E55" s="804" t="s">
        <v>15</v>
      </c>
      <c r="F55" s="805"/>
      <c r="G55" s="805"/>
      <c r="H55" s="805"/>
      <c r="I55" s="805"/>
      <c r="J55" s="805"/>
      <c r="K55" s="805"/>
      <c r="L55" s="805"/>
      <c r="M55" s="805"/>
      <c r="N55" s="806"/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</row>
    <row r="56" spans="1:51" s="808" customFormat="1" ht="15">
      <c r="A56" s="801"/>
      <c r="B56" s="1109"/>
      <c r="C56" s="802">
        <v>30</v>
      </c>
      <c r="D56" s="803" t="b">
        <f t="shared" si="2"/>
        <v>1</v>
      </c>
      <c r="E56" s="804" t="s">
        <v>16</v>
      </c>
      <c r="F56" s="805"/>
      <c r="G56" s="805"/>
      <c r="H56" s="805"/>
      <c r="I56" s="805"/>
      <c r="J56" s="805"/>
      <c r="K56" s="805"/>
      <c r="L56" s="805"/>
      <c r="M56" s="805"/>
      <c r="N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  <c r="AF56" s="806"/>
      <c r="AG56" s="806"/>
      <c r="AH56" s="806"/>
      <c r="AI56" s="806"/>
      <c r="AJ56" s="806"/>
      <c r="AK56" s="806"/>
    </row>
    <row r="57" spans="1:51" s="808" customFormat="1" ht="15">
      <c r="A57" s="801"/>
      <c r="B57" s="1109"/>
      <c r="C57" s="802">
        <v>40</v>
      </c>
      <c r="D57" s="803" t="b">
        <f t="shared" si="2"/>
        <v>1</v>
      </c>
      <c r="E57" s="804" t="s">
        <v>17</v>
      </c>
      <c r="F57" s="805"/>
      <c r="G57" s="805"/>
      <c r="H57" s="805"/>
      <c r="I57" s="805"/>
      <c r="J57" s="805"/>
      <c r="K57" s="805"/>
      <c r="L57" s="805"/>
      <c r="M57" s="805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6"/>
    </row>
    <row r="58" spans="1:51" s="808" customFormat="1" ht="15">
      <c r="A58" s="801"/>
      <c r="B58" s="1109"/>
      <c r="C58" s="802">
        <v>50</v>
      </c>
      <c r="D58" s="803" t="b">
        <f t="shared" si="2"/>
        <v>1</v>
      </c>
      <c r="E58" s="804" t="s">
        <v>18</v>
      </c>
      <c r="F58" s="805"/>
      <c r="G58" s="805"/>
      <c r="H58" s="805"/>
      <c r="I58" s="805"/>
      <c r="J58" s="805"/>
      <c r="K58" s="805"/>
      <c r="L58" s="805"/>
      <c r="M58" s="805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</row>
    <row r="59" spans="1:51" s="808" customFormat="1" ht="15">
      <c r="A59" s="801"/>
      <c r="B59" s="1109"/>
      <c r="C59" s="802">
        <v>60</v>
      </c>
      <c r="D59" s="803" t="b">
        <f t="shared" si="2"/>
        <v>1</v>
      </c>
      <c r="E59" s="804" t="s">
        <v>19</v>
      </c>
      <c r="F59" s="805"/>
      <c r="G59" s="805"/>
      <c r="H59" s="805"/>
      <c r="I59" s="805"/>
      <c r="J59" s="805"/>
      <c r="K59" s="805"/>
      <c r="L59" s="805"/>
      <c r="M59" s="805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</row>
    <row r="60" spans="1:51" s="808" customFormat="1" ht="15">
      <c r="A60" s="801"/>
      <c r="B60" s="1109"/>
      <c r="C60" s="802">
        <v>70</v>
      </c>
      <c r="D60" s="803" t="b">
        <f t="shared" si="2"/>
        <v>1</v>
      </c>
      <c r="E60" s="804" t="s">
        <v>20</v>
      </c>
      <c r="F60" s="805"/>
      <c r="G60" s="805"/>
      <c r="H60" s="805"/>
      <c r="I60" s="805"/>
      <c r="J60" s="805"/>
      <c r="K60" s="805"/>
      <c r="L60" s="805"/>
      <c r="M60" s="805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06"/>
      <c r="AK60" s="806"/>
    </row>
    <row r="61" spans="1:51" s="808" customFormat="1" ht="15">
      <c r="A61" s="801"/>
      <c r="B61" s="1109"/>
      <c r="C61" s="802">
        <v>80</v>
      </c>
      <c r="D61" s="803" t="b">
        <f t="shared" si="2"/>
        <v>1</v>
      </c>
      <c r="E61" s="804" t="s">
        <v>21</v>
      </c>
      <c r="F61" s="805"/>
      <c r="G61" s="805"/>
      <c r="H61" s="805"/>
      <c r="I61" s="805"/>
      <c r="J61" s="805"/>
      <c r="K61" s="805"/>
      <c r="L61" s="805"/>
      <c r="M61" s="805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</row>
    <row r="62" spans="1:51" s="808" customFormat="1" ht="15">
      <c r="A62" s="801"/>
      <c r="B62" s="1109"/>
      <c r="C62" s="802">
        <v>90</v>
      </c>
      <c r="D62" s="803" t="b">
        <f t="shared" si="2"/>
        <v>1</v>
      </c>
      <c r="E62" s="804" t="s">
        <v>22</v>
      </c>
      <c r="F62" s="805"/>
      <c r="G62" s="805"/>
      <c r="H62" s="805"/>
      <c r="I62" s="805"/>
      <c r="J62" s="805"/>
      <c r="K62" s="805"/>
      <c r="L62" s="805"/>
      <c r="M62" s="805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</row>
    <row r="63" spans="1:51" s="808" customFormat="1" ht="15">
      <c r="A63" s="801"/>
      <c r="B63" s="1109"/>
      <c r="C63" s="802">
        <v>100</v>
      </c>
      <c r="D63" s="803" t="b">
        <f t="shared" si="2"/>
        <v>1</v>
      </c>
      <c r="E63" s="804" t="s">
        <v>23</v>
      </c>
      <c r="F63" s="805"/>
      <c r="G63" s="805"/>
      <c r="H63" s="805"/>
      <c r="I63" s="805"/>
      <c r="J63" s="805"/>
      <c r="K63" s="805"/>
      <c r="L63" s="805"/>
      <c r="M63" s="805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806"/>
    </row>
    <row r="64" spans="1:51" s="808" customFormat="1" ht="15">
      <c r="A64" s="801"/>
      <c r="B64" s="1109"/>
      <c r="C64" s="802">
        <v>110</v>
      </c>
      <c r="D64" s="803" t="b">
        <f t="shared" si="2"/>
        <v>1</v>
      </c>
      <c r="E64" s="804" t="s">
        <v>24</v>
      </c>
      <c r="F64" s="805"/>
      <c r="G64" s="805"/>
      <c r="H64" s="805"/>
      <c r="I64" s="805"/>
      <c r="J64" s="805"/>
      <c r="K64" s="805"/>
      <c r="L64" s="805"/>
      <c r="M64" s="805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  <c r="AE64" s="806"/>
      <c r="AF64" s="806"/>
      <c r="AG64" s="806"/>
      <c r="AH64" s="806"/>
      <c r="AI64" s="806"/>
      <c r="AJ64" s="806"/>
      <c r="AK64" s="806"/>
    </row>
    <row r="65" spans="1:37" s="808" customFormat="1" ht="15">
      <c r="A65" s="801"/>
      <c r="B65" s="1109"/>
      <c r="C65" s="802">
        <v>120</v>
      </c>
      <c r="D65" s="803" t="b">
        <f t="shared" si="2"/>
        <v>1</v>
      </c>
      <c r="E65" s="804" t="s">
        <v>25</v>
      </c>
      <c r="F65" s="805"/>
      <c r="G65" s="805"/>
      <c r="H65" s="805"/>
      <c r="I65" s="805"/>
      <c r="J65" s="805"/>
      <c r="K65" s="805"/>
      <c r="L65" s="805"/>
      <c r="M65" s="805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6"/>
      <c r="AE65" s="806"/>
      <c r="AF65" s="806"/>
      <c r="AG65" s="806"/>
      <c r="AH65" s="806"/>
      <c r="AI65" s="806"/>
      <c r="AJ65" s="806"/>
      <c r="AK65" s="806"/>
    </row>
    <row r="66" spans="1:37" s="808" customFormat="1" ht="15">
      <c r="A66" s="801"/>
      <c r="B66" s="1109"/>
      <c r="C66" s="802">
        <v>130</v>
      </c>
      <c r="D66" s="803" t="b">
        <f t="shared" si="2"/>
        <v>1</v>
      </c>
      <c r="E66" s="804" t="s">
        <v>26</v>
      </c>
      <c r="F66" s="805"/>
      <c r="G66" s="805"/>
      <c r="H66" s="805"/>
      <c r="I66" s="805"/>
      <c r="J66" s="805"/>
      <c r="K66" s="805"/>
      <c r="L66" s="805"/>
      <c r="M66" s="805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</row>
    <row r="67" spans="1:37" s="808" customFormat="1" ht="15">
      <c r="A67" s="801"/>
      <c r="B67" s="1109"/>
      <c r="C67" s="1116">
        <v>140</v>
      </c>
      <c r="D67" s="803" t="b">
        <f>W19= -((SUM(D19:Q19))-R19+S19-T19+U19+V19)</f>
        <v>1</v>
      </c>
      <c r="E67" s="804" t="s">
        <v>27</v>
      </c>
      <c r="F67" s="805"/>
      <c r="G67" s="805"/>
      <c r="H67" s="805"/>
      <c r="I67" s="805"/>
      <c r="J67" s="805"/>
      <c r="K67" s="805"/>
      <c r="L67" s="805"/>
      <c r="M67" s="805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</row>
    <row r="68" spans="1:37" s="808" customFormat="1" ht="15">
      <c r="A68" s="801"/>
      <c r="B68" s="1109"/>
      <c r="C68" s="802">
        <v>150</v>
      </c>
      <c r="D68" s="803" t="b">
        <f t="shared" si="2"/>
        <v>1</v>
      </c>
      <c r="E68" s="804" t="s">
        <v>28</v>
      </c>
      <c r="F68" s="805"/>
      <c r="G68" s="805"/>
      <c r="H68" s="805"/>
      <c r="I68" s="805"/>
      <c r="J68" s="805"/>
      <c r="K68" s="805"/>
      <c r="L68" s="805"/>
      <c r="M68" s="805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</row>
    <row r="69" spans="1:37" s="808" customFormat="1" ht="15">
      <c r="A69" s="801"/>
      <c r="B69" s="1109"/>
      <c r="C69" s="802">
        <v>160</v>
      </c>
      <c r="D69" s="803" t="b">
        <f t="shared" si="2"/>
        <v>1</v>
      </c>
      <c r="E69" s="804" t="s">
        <v>29</v>
      </c>
      <c r="F69" s="805"/>
      <c r="G69" s="805"/>
      <c r="H69" s="805"/>
      <c r="I69" s="805"/>
      <c r="J69" s="805"/>
      <c r="K69" s="805"/>
      <c r="L69" s="805"/>
      <c r="M69" s="805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</row>
    <row r="70" spans="1:37" s="808" customFormat="1" ht="15">
      <c r="A70" s="801"/>
      <c r="B70" s="1109"/>
      <c r="C70" s="802">
        <v>170</v>
      </c>
      <c r="D70" s="803" t="b">
        <f t="shared" si="2"/>
        <v>1</v>
      </c>
      <c r="E70" s="804" t="s">
        <v>30</v>
      </c>
      <c r="F70" s="805"/>
      <c r="G70" s="805"/>
      <c r="H70" s="805"/>
      <c r="I70" s="805"/>
      <c r="J70" s="805"/>
      <c r="K70" s="805"/>
      <c r="L70" s="805"/>
      <c r="M70" s="805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</row>
    <row r="71" spans="1:37" s="808" customFormat="1" ht="15">
      <c r="A71" s="801"/>
      <c r="B71" s="1109"/>
      <c r="C71" s="802">
        <v>180</v>
      </c>
      <c r="D71" s="803" t="b">
        <f t="shared" si="2"/>
        <v>1</v>
      </c>
      <c r="E71" s="804" t="s">
        <v>31</v>
      </c>
      <c r="F71" s="805"/>
      <c r="G71" s="805"/>
      <c r="H71" s="805"/>
      <c r="I71" s="805"/>
      <c r="J71" s="805"/>
      <c r="K71" s="805"/>
      <c r="L71" s="805"/>
      <c r="M71" s="805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</row>
    <row r="72" spans="1:37" s="808" customFormat="1" ht="15">
      <c r="A72" s="801"/>
      <c r="B72" s="1109"/>
      <c r="C72" s="802">
        <v>190</v>
      </c>
      <c r="D72" s="803" t="b">
        <f t="shared" si="2"/>
        <v>1</v>
      </c>
      <c r="E72" s="804" t="s">
        <v>32</v>
      </c>
      <c r="F72" s="805"/>
      <c r="G72" s="805"/>
      <c r="H72" s="805"/>
      <c r="I72" s="805"/>
      <c r="J72" s="805"/>
      <c r="K72" s="805"/>
      <c r="L72" s="805"/>
      <c r="M72" s="805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  <c r="AA72" s="806"/>
      <c r="AB72" s="806"/>
      <c r="AC72" s="806"/>
      <c r="AD72" s="806"/>
      <c r="AE72" s="806"/>
      <c r="AF72" s="806"/>
      <c r="AG72" s="806"/>
      <c r="AH72" s="806"/>
      <c r="AI72" s="806"/>
      <c r="AJ72" s="806"/>
      <c r="AK72" s="806"/>
    </row>
    <row r="73" spans="1:37" s="808" customFormat="1" ht="15">
      <c r="A73" s="801"/>
      <c r="B73" s="1109"/>
      <c r="C73" s="802">
        <v>200</v>
      </c>
      <c r="D73" s="803" t="b">
        <f t="shared" si="2"/>
        <v>1</v>
      </c>
      <c r="E73" s="804" t="s">
        <v>33</v>
      </c>
      <c r="F73" s="805"/>
      <c r="G73" s="805"/>
      <c r="H73" s="805"/>
      <c r="I73" s="805"/>
      <c r="J73" s="805"/>
      <c r="K73" s="805"/>
      <c r="L73" s="805"/>
      <c r="M73" s="805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</row>
    <row r="74" spans="1:37" s="808" customFormat="1" ht="15">
      <c r="A74" s="801"/>
      <c r="B74" s="1109"/>
      <c r="C74" s="802">
        <v>210</v>
      </c>
      <c r="D74" s="803" t="b">
        <f t="shared" si="2"/>
        <v>1</v>
      </c>
      <c r="E74" s="804" t="s">
        <v>34</v>
      </c>
      <c r="F74" s="805"/>
      <c r="G74" s="805"/>
      <c r="H74" s="805"/>
      <c r="I74" s="805"/>
      <c r="J74" s="805"/>
      <c r="K74" s="805"/>
      <c r="L74" s="805"/>
      <c r="M74" s="805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  <c r="AA74" s="806"/>
      <c r="AB74" s="806"/>
      <c r="AC74" s="806"/>
      <c r="AD74" s="806"/>
      <c r="AE74" s="806"/>
      <c r="AF74" s="806"/>
      <c r="AG74" s="806"/>
      <c r="AH74" s="806"/>
      <c r="AI74" s="806"/>
      <c r="AJ74" s="806"/>
      <c r="AK74" s="806"/>
    </row>
    <row r="75" spans="1:37" s="808" customFormat="1" ht="15">
      <c r="A75" s="801"/>
      <c r="B75" s="1109"/>
      <c r="C75" s="802">
        <v>220</v>
      </c>
      <c r="D75" s="803" t="b">
        <f t="shared" si="2"/>
        <v>1</v>
      </c>
      <c r="E75" s="804" t="s">
        <v>35</v>
      </c>
      <c r="F75" s="805"/>
      <c r="G75" s="805"/>
      <c r="H75" s="805"/>
      <c r="I75" s="805"/>
      <c r="J75" s="805"/>
      <c r="K75" s="805"/>
      <c r="L75" s="805"/>
      <c r="M75" s="805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806"/>
      <c r="AK75" s="806"/>
    </row>
    <row r="76" spans="1:37" s="808" customFormat="1" ht="15">
      <c r="A76" s="801"/>
      <c r="B76" s="1109"/>
      <c r="C76" s="802">
        <v>230</v>
      </c>
      <c r="D76" s="803" t="b">
        <f t="shared" si="2"/>
        <v>1</v>
      </c>
      <c r="E76" s="804" t="s">
        <v>36</v>
      </c>
      <c r="F76" s="805"/>
      <c r="G76" s="805"/>
      <c r="H76" s="805"/>
      <c r="I76" s="805"/>
      <c r="J76" s="805"/>
      <c r="K76" s="805"/>
      <c r="L76" s="805"/>
      <c r="M76" s="805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6"/>
      <c r="AB76" s="806"/>
      <c r="AC76" s="806"/>
      <c r="AD76" s="806"/>
      <c r="AE76" s="806"/>
      <c r="AF76" s="806"/>
      <c r="AG76" s="806"/>
      <c r="AH76" s="806"/>
      <c r="AI76" s="806"/>
      <c r="AJ76" s="806"/>
      <c r="AK76" s="806"/>
    </row>
    <row r="77" spans="1:37" s="808" customFormat="1" ht="15">
      <c r="A77" s="801"/>
      <c r="B77" s="1109"/>
      <c r="C77" s="802">
        <v>240</v>
      </c>
      <c r="D77" s="803" t="b">
        <f t="shared" si="2"/>
        <v>1</v>
      </c>
      <c r="E77" s="804" t="s">
        <v>37</v>
      </c>
      <c r="F77" s="805"/>
      <c r="G77" s="805"/>
      <c r="H77" s="805"/>
      <c r="I77" s="805"/>
      <c r="J77" s="805"/>
      <c r="K77" s="805"/>
      <c r="L77" s="805"/>
      <c r="M77" s="805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</row>
    <row r="78" spans="1:37" s="808" customFormat="1" ht="15">
      <c r="A78" s="801"/>
      <c r="B78" s="1109"/>
      <c r="C78" s="802">
        <v>250</v>
      </c>
      <c r="D78" s="803" t="b">
        <f t="shared" si="2"/>
        <v>1</v>
      </c>
      <c r="E78" s="804" t="s">
        <v>38</v>
      </c>
      <c r="F78" s="805"/>
      <c r="G78" s="805"/>
      <c r="H78" s="805"/>
      <c r="I78" s="805"/>
      <c r="J78" s="805"/>
      <c r="K78" s="805"/>
      <c r="L78" s="805"/>
      <c r="M78" s="805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  <c r="AA78" s="806"/>
      <c r="AB78" s="806"/>
      <c r="AC78" s="806"/>
      <c r="AD78" s="806"/>
      <c r="AE78" s="806"/>
      <c r="AF78" s="806"/>
      <c r="AG78" s="806"/>
      <c r="AH78" s="806"/>
      <c r="AI78" s="806"/>
      <c r="AJ78" s="806"/>
      <c r="AK78" s="806"/>
    </row>
    <row r="79" spans="1:37" s="808" customFormat="1" ht="15">
      <c r="A79" s="801"/>
      <c r="B79" s="1109"/>
      <c r="C79" s="802">
        <v>260</v>
      </c>
      <c r="D79" s="803" t="b">
        <f t="shared" si="2"/>
        <v>1</v>
      </c>
      <c r="E79" s="804" t="s">
        <v>39</v>
      </c>
      <c r="F79" s="805"/>
      <c r="G79" s="805"/>
      <c r="H79" s="805"/>
      <c r="I79" s="805"/>
      <c r="J79" s="805"/>
      <c r="K79" s="805"/>
      <c r="L79" s="805"/>
      <c r="M79" s="805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  <c r="AA79" s="806"/>
      <c r="AB79" s="806"/>
      <c r="AC79" s="806"/>
      <c r="AD79" s="806"/>
      <c r="AE79" s="806"/>
      <c r="AF79" s="806"/>
      <c r="AG79" s="806"/>
      <c r="AH79" s="806"/>
      <c r="AI79" s="806"/>
      <c r="AJ79" s="806"/>
      <c r="AK79" s="806"/>
    </row>
    <row r="80" spans="1:37" s="808" customFormat="1" ht="15">
      <c r="A80" s="801"/>
      <c r="B80" s="1109"/>
      <c r="C80" s="802">
        <v>270</v>
      </c>
      <c r="D80" s="803" t="b">
        <f t="shared" si="2"/>
        <v>1</v>
      </c>
      <c r="E80" s="804" t="s">
        <v>40</v>
      </c>
      <c r="F80" s="805"/>
      <c r="G80" s="805"/>
      <c r="H80" s="805"/>
      <c r="I80" s="805"/>
      <c r="J80" s="805"/>
      <c r="K80" s="805"/>
      <c r="L80" s="805"/>
      <c r="M80" s="805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  <c r="AA80" s="806"/>
      <c r="AB80" s="806"/>
      <c r="AC80" s="806"/>
      <c r="AD80" s="806"/>
      <c r="AE80" s="806"/>
      <c r="AF80" s="806"/>
      <c r="AG80" s="806"/>
      <c r="AH80" s="806"/>
      <c r="AI80" s="806"/>
      <c r="AJ80" s="806"/>
      <c r="AK80" s="806"/>
    </row>
    <row r="81" spans="1:37" s="808" customFormat="1" ht="15">
      <c r="A81" s="801"/>
      <c r="B81" s="1109"/>
      <c r="C81" s="802">
        <v>280</v>
      </c>
      <c r="D81" s="803" t="b">
        <f t="shared" si="2"/>
        <v>1</v>
      </c>
      <c r="E81" s="804" t="s">
        <v>41</v>
      </c>
      <c r="F81" s="805"/>
      <c r="G81" s="805"/>
      <c r="H81" s="805"/>
      <c r="I81" s="805"/>
      <c r="J81" s="805"/>
      <c r="K81" s="805"/>
      <c r="L81" s="805"/>
      <c r="M81" s="805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6"/>
      <c r="AK81" s="806"/>
    </row>
    <row r="82" spans="1:37" s="808" customFormat="1" ht="15">
      <c r="A82" s="801"/>
      <c r="B82" s="1109"/>
      <c r="C82" s="1116">
        <v>290</v>
      </c>
      <c r="D82" s="803"/>
      <c r="E82" s="804"/>
      <c r="F82" s="805"/>
      <c r="G82" s="805"/>
      <c r="H82" s="805"/>
      <c r="I82" s="805"/>
      <c r="J82" s="805"/>
      <c r="K82" s="805"/>
      <c r="L82" s="805"/>
      <c r="M82" s="805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6"/>
      <c r="AB82" s="806"/>
      <c r="AC82" s="806"/>
      <c r="AD82" s="806"/>
      <c r="AE82" s="806"/>
      <c r="AF82" s="806"/>
      <c r="AG82" s="806"/>
      <c r="AH82" s="806"/>
      <c r="AI82" s="806"/>
      <c r="AJ82" s="806"/>
      <c r="AK82" s="806"/>
    </row>
    <row r="83" spans="1:37" s="808" customFormat="1" ht="15">
      <c r="A83" s="801"/>
      <c r="B83" s="1109"/>
      <c r="C83" s="802">
        <v>300</v>
      </c>
      <c r="D83" s="803" t="b">
        <f t="shared" ref="D83:D98" si="3">W34=(SUM(D34:Q34))-R34+S34-T34+U34+V34</f>
        <v>1</v>
      </c>
      <c r="E83" s="804" t="s">
        <v>42</v>
      </c>
      <c r="F83" s="805"/>
      <c r="G83" s="805"/>
      <c r="H83" s="805"/>
      <c r="I83" s="805"/>
      <c r="J83" s="805"/>
      <c r="K83" s="805"/>
      <c r="L83" s="805"/>
      <c r="M83" s="805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6"/>
      <c r="AC83" s="806"/>
      <c r="AD83" s="806"/>
      <c r="AE83" s="806"/>
      <c r="AF83" s="806"/>
      <c r="AG83" s="806"/>
      <c r="AH83" s="806"/>
      <c r="AI83" s="806"/>
      <c r="AJ83" s="806"/>
      <c r="AK83" s="806"/>
    </row>
    <row r="84" spans="1:37" s="808" customFormat="1" ht="15">
      <c r="A84" s="801"/>
      <c r="B84" s="1109"/>
      <c r="C84" s="802">
        <v>310</v>
      </c>
      <c r="D84" s="803" t="b">
        <f t="shared" si="3"/>
        <v>1</v>
      </c>
      <c r="E84" s="804" t="s">
        <v>43</v>
      </c>
      <c r="F84" s="805"/>
      <c r="G84" s="805"/>
      <c r="H84" s="805"/>
      <c r="I84" s="805"/>
      <c r="J84" s="805"/>
      <c r="K84" s="805"/>
      <c r="L84" s="805"/>
      <c r="M84" s="805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  <c r="AA84" s="806"/>
      <c r="AB84" s="806"/>
      <c r="AC84" s="806"/>
      <c r="AD84" s="806"/>
      <c r="AE84" s="806"/>
      <c r="AF84" s="806"/>
      <c r="AG84" s="806"/>
      <c r="AH84" s="806"/>
      <c r="AI84" s="806"/>
      <c r="AJ84" s="806"/>
      <c r="AK84" s="806"/>
    </row>
    <row r="85" spans="1:37" s="808" customFormat="1" ht="15">
      <c r="A85" s="801"/>
      <c r="B85" s="1109"/>
      <c r="C85" s="802">
        <v>320</v>
      </c>
      <c r="D85" s="803" t="b">
        <f t="shared" si="3"/>
        <v>1</v>
      </c>
      <c r="E85" s="804" t="s">
        <v>44</v>
      </c>
      <c r="F85" s="805"/>
      <c r="G85" s="805"/>
      <c r="H85" s="805"/>
      <c r="I85" s="805"/>
      <c r="J85" s="805"/>
      <c r="K85" s="805"/>
      <c r="L85" s="805"/>
      <c r="M85" s="805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  <c r="Z85" s="806"/>
      <c r="AA85" s="806"/>
      <c r="AB85" s="806"/>
      <c r="AC85" s="806"/>
      <c r="AD85" s="806"/>
      <c r="AE85" s="806"/>
      <c r="AF85" s="806"/>
      <c r="AG85" s="806"/>
      <c r="AH85" s="806"/>
      <c r="AI85" s="806"/>
      <c r="AJ85" s="806"/>
      <c r="AK85" s="806"/>
    </row>
    <row r="86" spans="1:37" s="808" customFormat="1" ht="15">
      <c r="A86" s="801"/>
      <c r="B86" s="1109"/>
      <c r="C86" s="802">
        <v>330</v>
      </c>
      <c r="D86" s="803" t="b">
        <f t="shared" si="3"/>
        <v>1</v>
      </c>
      <c r="E86" s="804" t="s">
        <v>45</v>
      </c>
      <c r="F86" s="805"/>
      <c r="G86" s="805"/>
      <c r="H86" s="805"/>
      <c r="I86" s="805"/>
      <c r="J86" s="805"/>
      <c r="K86" s="805"/>
      <c r="L86" s="805"/>
      <c r="M86" s="805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  <c r="AA86" s="806"/>
      <c r="AB86" s="806"/>
      <c r="AC86" s="806"/>
      <c r="AD86" s="806"/>
      <c r="AE86" s="806"/>
      <c r="AF86" s="806"/>
      <c r="AG86" s="806"/>
      <c r="AH86" s="806"/>
      <c r="AI86" s="806"/>
      <c r="AJ86" s="806"/>
      <c r="AK86" s="806"/>
    </row>
    <row r="87" spans="1:37" s="808" customFormat="1" ht="15">
      <c r="A87" s="801"/>
      <c r="B87" s="1109"/>
      <c r="C87" s="802">
        <v>340</v>
      </c>
      <c r="D87" s="803" t="b">
        <f t="shared" si="3"/>
        <v>1</v>
      </c>
      <c r="E87" s="804" t="s">
        <v>46</v>
      </c>
      <c r="F87" s="805"/>
      <c r="G87" s="805"/>
      <c r="H87" s="805"/>
      <c r="I87" s="805"/>
      <c r="J87" s="805"/>
      <c r="K87" s="805"/>
      <c r="L87" s="805"/>
      <c r="M87" s="805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  <c r="AA87" s="806"/>
      <c r="AB87" s="806"/>
      <c r="AC87" s="806"/>
      <c r="AD87" s="806"/>
      <c r="AE87" s="806"/>
      <c r="AF87" s="806"/>
      <c r="AG87" s="806"/>
      <c r="AH87" s="806"/>
      <c r="AI87" s="806"/>
      <c r="AJ87" s="806"/>
      <c r="AK87" s="806"/>
    </row>
    <row r="88" spans="1:37" s="808" customFormat="1" ht="15">
      <c r="A88" s="801"/>
      <c r="B88" s="1109"/>
      <c r="C88" s="802">
        <v>350</v>
      </c>
      <c r="D88" s="803" t="b">
        <f t="shared" si="3"/>
        <v>1</v>
      </c>
      <c r="E88" s="804" t="s">
        <v>47</v>
      </c>
      <c r="F88" s="805"/>
      <c r="G88" s="805"/>
      <c r="H88" s="805"/>
      <c r="I88" s="805"/>
      <c r="J88" s="805"/>
      <c r="K88" s="805"/>
      <c r="L88" s="805"/>
      <c r="M88" s="805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  <c r="AA88" s="806"/>
      <c r="AB88" s="806"/>
      <c r="AC88" s="806"/>
      <c r="AD88" s="806"/>
      <c r="AE88" s="806"/>
      <c r="AF88" s="806"/>
      <c r="AG88" s="806"/>
      <c r="AH88" s="806"/>
      <c r="AI88" s="806"/>
      <c r="AJ88" s="806"/>
      <c r="AK88" s="806"/>
    </row>
    <row r="89" spans="1:37" s="808" customFormat="1" ht="15">
      <c r="A89" s="801"/>
      <c r="B89" s="1109"/>
      <c r="C89" s="802">
        <v>360</v>
      </c>
      <c r="D89" s="803" t="b">
        <f t="shared" si="3"/>
        <v>1</v>
      </c>
      <c r="E89" s="804" t="s">
        <v>48</v>
      </c>
      <c r="F89" s="805"/>
      <c r="G89" s="805"/>
      <c r="H89" s="805"/>
      <c r="I89" s="805"/>
      <c r="J89" s="805"/>
      <c r="K89" s="805"/>
      <c r="L89" s="805"/>
      <c r="M89" s="805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  <c r="AA89" s="806"/>
      <c r="AB89" s="806"/>
      <c r="AC89" s="806"/>
      <c r="AD89" s="806"/>
      <c r="AE89" s="806"/>
      <c r="AF89" s="806"/>
      <c r="AG89" s="806"/>
      <c r="AH89" s="806"/>
      <c r="AI89" s="806"/>
      <c r="AJ89" s="806"/>
      <c r="AK89" s="806"/>
    </row>
    <row r="90" spans="1:37" s="808" customFormat="1" ht="15">
      <c r="A90" s="801"/>
      <c r="B90" s="1109"/>
      <c r="C90" s="802">
        <v>370</v>
      </c>
      <c r="D90" s="803" t="b">
        <f t="shared" si="3"/>
        <v>1</v>
      </c>
      <c r="E90" s="804" t="s">
        <v>49</v>
      </c>
      <c r="F90" s="805"/>
      <c r="G90" s="805"/>
      <c r="H90" s="805"/>
      <c r="I90" s="805"/>
      <c r="J90" s="805"/>
      <c r="K90" s="805"/>
      <c r="L90" s="805"/>
      <c r="M90" s="805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  <c r="AA90" s="806"/>
      <c r="AB90" s="806"/>
      <c r="AC90" s="806"/>
      <c r="AD90" s="806"/>
      <c r="AE90" s="806"/>
      <c r="AF90" s="806"/>
      <c r="AG90" s="806"/>
      <c r="AH90" s="806"/>
      <c r="AI90" s="806"/>
      <c r="AJ90" s="806"/>
      <c r="AK90" s="806"/>
    </row>
    <row r="91" spans="1:37" s="808" customFormat="1" ht="15">
      <c r="A91" s="801"/>
      <c r="B91" s="1109"/>
      <c r="C91" s="802">
        <v>380</v>
      </c>
      <c r="D91" s="803" t="b">
        <f t="shared" si="3"/>
        <v>1</v>
      </c>
      <c r="E91" s="804" t="s">
        <v>50</v>
      </c>
      <c r="F91" s="805"/>
      <c r="G91" s="805"/>
      <c r="H91" s="805"/>
      <c r="I91" s="805"/>
      <c r="J91" s="805"/>
      <c r="K91" s="805"/>
      <c r="L91" s="805"/>
      <c r="M91" s="805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  <c r="AA91" s="806"/>
      <c r="AB91" s="806"/>
      <c r="AC91" s="806"/>
      <c r="AD91" s="806"/>
      <c r="AE91" s="806"/>
      <c r="AF91" s="806"/>
      <c r="AG91" s="806"/>
      <c r="AH91" s="806"/>
      <c r="AI91" s="806"/>
      <c r="AJ91" s="806"/>
      <c r="AK91" s="806"/>
    </row>
    <row r="92" spans="1:37" s="808" customFormat="1" ht="15">
      <c r="A92" s="801"/>
      <c r="B92" s="1109"/>
      <c r="C92" s="802">
        <v>390</v>
      </c>
      <c r="D92" s="803" t="b">
        <f t="shared" si="3"/>
        <v>1</v>
      </c>
      <c r="E92" s="804" t="s">
        <v>51</v>
      </c>
      <c r="F92" s="805"/>
      <c r="G92" s="805"/>
      <c r="H92" s="805"/>
      <c r="I92" s="805"/>
      <c r="J92" s="805"/>
      <c r="K92" s="805"/>
      <c r="L92" s="805"/>
      <c r="M92" s="805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  <c r="AA92" s="806"/>
      <c r="AB92" s="806"/>
      <c r="AC92" s="806"/>
      <c r="AD92" s="806"/>
      <c r="AE92" s="806"/>
      <c r="AF92" s="806"/>
      <c r="AG92" s="806"/>
      <c r="AH92" s="806"/>
      <c r="AI92" s="806"/>
      <c r="AJ92" s="806"/>
      <c r="AK92" s="806"/>
    </row>
    <row r="93" spans="1:37" s="808" customFormat="1" ht="15">
      <c r="A93" s="801"/>
      <c r="B93" s="1109"/>
      <c r="C93" s="802">
        <v>400</v>
      </c>
      <c r="D93" s="803" t="b">
        <f t="shared" si="3"/>
        <v>1</v>
      </c>
      <c r="E93" s="804" t="s">
        <v>52</v>
      </c>
      <c r="F93" s="805"/>
      <c r="G93" s="805"/>
      <c r="H93" s="805"/>
      <c r="I93" s="805"/>
      <c r="J93" s="805"/>
      <c r="K93" s="805"/>
      <c r="L93" s="805"/>
      <c r="M93" s="805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  <c r="AA93" s="806"/>
      <c r="AB93" s="806"/>
      <c r="AC93" s="806"/>
      <c r="AD93" s="806"/>
      <c r="AE93" s="806"/>
      <c r="AF93" s="806"/>
      <c r="AG93" s="806"/>
      <c r="AH93" s="806"/>
      <c r="AI93" s="806"/>
      <c r="AJ93" s="806"/>
      <c r="AK93" s="806"/>
    </row>
    <row r="94" spans="1:37" s="808" customFormat="1" ht="15">
      <c r="A94" s="801"/>
      <c r="B94" s="1109"/>
      <c r="C94" s="802">
        <v>410</v>
      </c>
      <c r="D94" s="803" t="b">
        <f t="shared" si="3"/>
        <v>1</v>
      </c>
      <c r="E94" s="804" t="s">
        <v>53</v>
      </c>
      <c r="F94" s="805"/>
      <c r="G94" s="805"/>
      <c r="H94" s="805"/>
      <c r="I94" s="805"/>
      <c r="J94" s="805"/>
      <c r="K94" s="805"/>
      <c r="L94" s="805"/>
      <c r="M94" s="805"/>
      <c r="N94" s="806"/>
      <c r="O94" s="806"/>
      <c r="P94" s="806"/>
      <c r="Q94" s="806"/>
      <c r="R94" s="806"/>
      <c r="S94" s="806"/>
      <c r="T94" s="806"/>
      <c r="U94" s="806"/>
      <c r="V94" s="806"/>
      <c r="W94" s="806"/>
      <c r="X94" s="806"/>
      <c r="Y94" s="806"/>
      <c r="Z94" s="806"/>
      <c r="AA94" s="806"/>
      <c r="AB94" s="806"/>
      <c r="AC94" s="806"/>
      <c r="AD94" s="806"/>
      <c r="AE94" s="806"/>
      <c r="AF94" s="806"/>
      <c r="AG94" s="806"/>
      <c r="AH94" s="806"/>
      <c r="AI94" s="806"/>
      <c r="AJ94" s="806"/>
      <c r="AK94" s="806"/>
    </row>
    <row r="95" spans="1:37" s="808" customFormat="1" ht="15">
      <c r="A95" s="801"/>
      <c r="B95" s="1109"/>
      <c r="C95" s="802">
        <v>420</v>
      </c>
      <c r="D95" s="803" t="b">
        <f t="shared" si="3"/>
        <v>1</v>
      </c>
      <c r="E95" s="804" t="s">
        <v>54</v>
      </c>
      <c r="F95" s="805"/>
      <c r="G95" s="805"/>
      <c r="H95" s="805"/>
      <c r="I95" s="805"/>
      <c r="J95" s="805"/>
      <c r="K95" s="805"/>
      <c r="L95" s="805"/>
      <c r="M95" s="805"/>
      <c r="N95" s="806"/>
      <c r="O95" s="806"/>
      <c r="P95" s="806"/>
      <c r="Q95" s="806"/>
      <c r="R95" s="806"/>
      <c r="S95" s="806"/>
      <c r="T95" s="806"/>
      <c r="U95" s="806"/>
      <c r="V95" s="806"/>
      <c r="W95" s="806"/>
      <c r="X95" s="806"/>
      <c r="Y95" s="806"/>
      <c r="Z95" s="806"/>
      <c r="AA95" s="806"/>
      <c r="AB95" s="806"/>
      <c r="AC95" s="806"/>
      <c r="AD95" s="806"/>
      <c r="AE95" s="806"/>
      <c r="AF95" s="806"/>
      <c r="AG95" s="806"/>
      <c r="AH95" s="806"/>
      <c r="AI95" s="806"/>
      <c r="AJ95" s="806"/>
      <c r="AK95" s="806"/>
    </row>
    <row r="96" spans="1:37" s="808" customFormat="1" ht="15">
      <c r="A96" s="801"/>
      <c r="B96" s="1109"/>
      <c r="C96" s="802">
        <v>430</v>
      </c>
      <c r="D96" s="803" t="b">
        <f t="shared" si="3"/>
        <v>1</v>
      </c>
      <c r="E96" s="804" t="s">
        <v>55</v>
      </c>
      <c r="F96" s="805"/>
      <c r="G96" s="805"/>
      <c r="H96" s="805"/>
      <c r="I96" s="805"/>
      <c r="J96" s="805"/>
      <c r="K96" s="805"/>
      <c r="L96" s="805"/>
      <c r="M96" s="805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C96" s="806"/>
      <c r="AD96" s="806"/>
      <c r="AE96" s="806"/>
      <c r="AF96" s="806"/>
      <c r="AG96" s="806"/>
      <c r="AH96" s="806"/>
      <c r="AI96" s="806"/>
      <c r="AJ96" s="806"/>
      <c r="AK96" s="806"/>
    </row>
    <row r="97" spans="1:41" s="808" customFormat="1" ht="15">
      <c r="A97" s="801"/>
      <c r="B97" s="1109"/>
      <c r="C97" s="802">
        <v>440</v>
      </c>
      <c r="D97" s="803" t="b">
        <f t="shared" si="3"/>
        <v>1</v>
      </c>
      <c r="E97" s="804" t="s">
        <v>56</v>
      </c>
      <c r="F97" s="805"/>
      <c r="G97" s="805"/>
      <c r="H97" s="805"/>
      <c r="I97" s="805"/>
      <c r="J97" s="805"/>
      <c r="K97" s="805"/>
      <c r="L97" s="805"/>
      <c r="M97" s="805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  <c r="Z97" s="806"/>
      <c r="AA97" s="806"/>
      <c r="AB97" s="806"/>
      <c r="AC97" s="806"/>
      <c r="AD97" s="806"/>
      <c r="AE97" s="806"/>
      <c r="AF97" s="806"/>
      <c r="AG97" s="806"/>
      <c r="AH97" s="806"/>
      <c r="AI97" s="806"/>
      <c r="AJ97" s="806"/>
      <c r="AK97" s="806"/>
    </row>
    <row r="98" spans="1:41" s="808" customFormat="1" ht="15">
      <c r="A98" s="801" t="s">
        <v>1554</v>
      </c>
      <c r="B98" s="1109"/>
      <c r="C98" s="802">
        <v>450</v>
      </c>
      <c r="D98" s="803" t="b">
        <f t="shared" si="3"/>
        <v>1</v>
      </c>
      <c r="E98" s="804" t="s">
        <v>57</v>
      </c>
      <c r="F98" s="805"/>
      <c r="G98" s="805"/>
      <c r="H98" s="805"/>
      <c r="I98" s="805"/>
      <c r="J98" s="805"/>
      <c r="K98" s="805"/>
      <c r="L98" s="805"/>
      <c r="M98" s="805"/>
      <c r="N98" s="806"/>
      <c r="O98" s="806"/>
      <c r="P98" s="806"/>
      <c r="Q98" s="806"/>
      <c r="R98" s="806"/>
      <c r="S98" s="806"/>
      <c r="T98" s="806"/>
      <c r="U98" s="806"/>
      <c r="V98" s="806"/>
      <c r="W98" s="806"/>
      <c r="X98" s="806"/>
      <c r="Y98" s="806"/>
      <c r="Z98" s="806"/>
      <c r="AA98" s="806"/>
      <c r="AB98" s="806"/>
      <c r="AC98" s="806"/>
      <c r="AD98" s="806"/>
      <c r="AE98" s="806"/>
      <c r="AF98" s="806"/>
      <c r="AG98" s="806"/>
      <c r="AH98" s="806"/>
      <c r="AI98" s="806"/>
      <c r="AJ98" s="806"/>
      <c r="AK98" s="806"/>
    </row>
    <row r="99" spans="1:41" s="808" customFormat="1" ht="15">
      <c r="A99" s="801"/>
      <c r="B99" s="1109"/>
      <c r="C99" s="802">
        <v>460</v>
      </c>
      <c r="D99" s="809" t="b">
        <f>D$49=D$8+SUM(D$9:D$13)-SUM(D$14:D$15)+D$16-D$17+D$18+D$19+SUM(D$20:D$22)-SUM(D$23:D$28)+D$29-D$30+SUM(D$31:D$33)-D$34+SUM(D$35:D$48)</f>
        <v>1</v>
      </c>
      <c r="E99" s="810" t="s">
        <v>58</v>
      </c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810"/>
      <c r="Q99" s="810"/>
      <c r="R99" s="810"/>
      <c r="S99" s="810"/>
      <c r="T99" s="810"/>
      <c r="U99" s="810"/>
      <c r="V99" s="810"/>
      <c r="W99" s="810"/>
      <c r="X99" s="810"/>
      <c r="Y99" s="810"/>
      <c r="Z99" s="810"/>
      <c r="AA99" s="810"/>
      <c r="AB99" s="810"/>
      <c r="AC99" s="810"/>
      <c r="AD99" s="810"/>
      <c r="AE99" s="810"/>
      <c r="AF99" s="810"/>
      <c r="AG99" s="810"/>
      <c r="AH99" s="810"/>
      <c r="AI99" s="810"/>
      <c r="AJ99" s="810"/>
      <c r="AK99" s="811"/>
    </row>
    <row r="100" spans="1:41" s="808" customFormat="1" ht="15">
      <c r="A100" s="801"/>
      <c r="B100" s="1109"/>
      <c r="C100" s="802">
        <v>470</v>
      </c>
      <c r="D100" s="809" t="b">
        <f>E$49=E$8+SUM(E$9:E$13)-SUM(E$14:E$15)+E$16-E$17+E$18+E$19+SUM(E$20:E$22)-SUM(E$23:E$28)+E$29-E$30+SUM(E$31:E$33)-E$34+SUM(E$35:E$48)</f>
        <v>1</v>
      </c>
      <c r="E100" s="810" t="s">
        <v>59</v>
      </c>
      <c r="F100" s="811"/>
      <c r="G100" s="811"/>
      <c r="H100" s="811"/>
      <c r="I100" s="811"/>
      <c r="J100" s="811"/>
      <c r="K100" s="811"/>
      <c r="L100" s="811"/>
      <c r="M100" s="811"/>
      <c r="N100" s="811"/>
      <c r="O100" s="811"/>
      <c r="P100" s="811"/>
      <c r="Q100" s="811"/>
      <c r="R100" s="811"/>
      <c r="S100" s="811"/>
      <c r="T100" s="811"/>
      <c r="U100" s="811"/>
      <c r="V100" s="811"/>
      <c r="W100" s="811"/>
      <c r="X100" s="811"/>
      <c r="Y100" s="811"/>
      <c r="Z100" s="811"/>
      <c r="AA100" s="811"/>
      <c r="AB100" s="811"/>
      <c r="AC100" s="811"/>
      <c r="AD100" s="811"/>
      <c r="AE100" s="811"/>
      <c r="AF100" s="811"/>
      <c r="AG100" s="811"/>
      <c r="AH100" s="811"/>
      <c r="AI100" s="811"/>
      <c r="AJ100" s="811"/>
      <c r="AK100" s="811"/>
      <c r="AL100" s="803"/>
      <c r="AM100" s="803"/>
      <c r="AN100" s="803"/>
      <c r="AO100" s="803"/>
    </row>
    <row r="101" spans="1:41" s="808" customFormat="1" ht="15">
      <c r="A101" s="801"/>
      <c r="B101" s="1109"/>
      <c r="C101" s="802">
        <v>480</v>
      </c>
      <c r="D101" s="809" t="b">
        <f>F$49=F$8+SUM(F$9:F$13)-SUM(F$14:F$15)+F$16-F$17+F$18+F$19+SUM(F$20:F$22)-SUM(F$23:F$28)+F$29-F$30+SUM(F$31:F$33)-F$34+SUM(F$35:F$48)</f>
        <v>1</v>
      </c>
      <c r="E101" s="810" t="s">
        <v>60</v>
      </c>
      <c r="F101" s="811"/>
      <c r="G101" s="811"/>
      <c r="H101" s="811"/>
      <c r="I101" s="811"/>
      <c r="J101" s="811"/>
      <c r="K101" s="811"/>
      <c r="L101" s="811"/>
      <c r="M101" s="811"/>
      <c r="N101" s="811"/>
      <c r="O101" s="811"/>
      <c r="P101" s="811"/>
      <c r="Q101" s="811"/>
      <c r="R101" s="811"/>
      <c r="S101" s="811"/>
      <c r="T101" s="811"/>
      <c r="U101" s="811"/>
      <c r="V101" s="811"/>
      <c r="W101" s="811"/>
      <c r="X101" s="811"/>
      <c r="Y101" s="811"/>
      <c r="Z101" s="811"/>
      <c r="AA101" s="811"/>
      <c r="AB101" s="811"/>
      <c r="AC101" s="811"/>
      <c r="AD101" s="811"/>
      <c r="AE101" s="811"/>
      <c r="AF101" s="811"/>
      <c r="AG101" s="811"/>
      <c r="AH101" s="811"/>
      <c r="AI101" s="811"/>
      <c r="AJ101" s="811"/>
      <c r="AK101" s="811"/>
    </row>
    <row r="102" spans="1:41" s="808" customFormat="1" ht="15">
      <c r="A102" s="801"/>
      <c r="B102" s="1109"/>
      <c r="C102" s="802">
        <v>490</v>
      </c>
      <c r="D102" s="809" t="b">
        <f>G$49=G$8+SUM(G$9:G$13)-SUM(G$14:G$15)+G$16-G$17+G$18+G$19+SUM(G$20:G$22)-SUM(G$23:G$28)+G$29-G$30+SUM(G$31:G$33)-G$34+SUM(G$35:G$48)</f>
        <v>1</v>
      </c>
      <c r="E102" s="810" t="s">
        <v>61</v>
      </c>
      <c r="F102" s="811"/>
      <c r="G102" s="811"/>
      <c r="H102" s="811"/>
      <c r="I102" s="811"/>
      <c r="J102" s="811"/>
      <c r="K102" s="811"/>
      <c r="L102" s="811"/>
      <c r="M102" s="811"/>
      <c r="N102" s="811"/>
      <c r="O102" s="811"/>
      <c r="P102" s="811"/>
      <c r="Q102" s="811"/>
      <c r="R102" s="811"/>
      <c r="S102" s="811"/>
      <c r="T102" s="811"/>
      <c r="U102" s="811"/>
      <c r="V102" s="811"/>
      <c r="W102" s="811"/>
      <c r="X102" s="811"/>
      <c r="Y102" s="811"/>
      <c r="Z102" s="811"/>
      <c r="AA102" s="811"/>
      <c r="AB102" s="811"/>
      <c r="AC102" s="811"/>
      <c r="AD102" s="811"/>
      <c r="AE102" s="811"/>
      <c r="AF102" s="811"/>
      <c r="AG102" s="811"/>
      <c r="AH102" s="811"/>
      <c r="AI102" s="811"/>
      <c r="AJ102" s="811"/>
      <c r="AK102" s="811"/>
    </row>
    <row r="103" spans="1:41" s="808" customFormat="1" ht="15">
      <c r="A103" s="801"/>
      <c r="B103" s="1109"/>
      <c r="C103" s="802">
        <v>500</v>
      </c>
      <c r="D103" s="809" t="b">
        <f>H$49=H$8+SUM(H$9:H$13)-SUM(H$14:H$15)+H$16-H$17+H$18+H$19+SUM(H$20:H$22)-SUM(H$23:H$28)+H$29-H$30+SUM(H$31:H$33)-H$34+SUM(H$35:H$48)</f>
        <v>1</v>
      </c>
      <c r="E103" s="810" t="s">
        <v>62</v>
      </c>
      <c r="F103" s="811"/>
      <c r="G103" s="811"/>
      <c r="H103" s="811"/>
      <c r="I103" s="811"/>
      <c r="J103" s="811"/>
      <c r="K103" s="811"/>
      <c r="L103" s="811"/>
      <c r="M103" s="811"/>
      <c r="N103" s="811"/>
      <c r="O103" s="811"/>
      <c r="P103" s="811"/>
      <c r="Q103" s="811"/>
      <c r="R103" s="811"/>
      <c r="S103" s="811"/>
      <c r="T103" s="811"/>
      <c r="U103" s="811"/>
      <c r="V103" s="811"/>
      <c r="W103" s="811"/>
      <c r="X103" s="811"/>
      <c r="Y103" s="811"/>
      <c r="Z103" s="811"/>
      <c r="AA103" s="811"/>
      <c r="AB103" s="811"/>
      <c r="AC103" s="811"/>
      <c r="AD103" s="811"/>
      <c r="AE103" s="811"/>
      <c r="AF103" s="811"/>
      <c r="AG103" s="811"/>
      <c r="AH103" s="811"/>
      <c r="AI103" s="811"/>
      <c r="AJ103" s="811"/>
      <c r="AK103" s="811"/>
    </row>
    <row r="104" spans="1:41" s="808" customFormat="1" ht="15">
      <c r="A104" s="801"/>
      <c r="B104" s="1109"/>
      <c r="C104" s="802">
        <v>510</v>
      </c>
      <c r="D104" s="809" t="b">
        <f>I$49=I$8+SUM(I$9:I$13)-SUM(I$14:I$15)+I$16-I$17+I$18+I$19+SUM(I$20:I$22)-SUM(I$23:I$28)+I$29-I$30+SUM(I$31:I$33)-I$34+SUM(I$35:I$48)</f>
        <v>1</v>
      </c>
      <c r="E104" s="810" t="s">
        <v>63</v>
      </c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1"/>
      <c r="Y104" s="811"/>
      <c r="Z104" s="811"/>
      <c r="AA104" s="811"/>
      <c r="AB104" s="811"/>
      <c r="AC104" s="811"/>
      <c r="AD104" s="811"/>
      <c r="AE104" s="811"/>
      <c r="AF104" s="811"/>
      <c r="AG104" s="811"/>
      <c r="AH104" s="811"/>
      <c r="AI104" s="811"/>
      <c r="AJ104" s="811"/>
      <c r="AK104" s="811"/>
    </row>
    <row r="105" spans="1:41" s="808" customFormat="1" ht="15">
      <c r="A105" s="801"/>
      <c r="B105" s="1109"/>
      <c r="C105" s="802">
        <v>520</v>
      </c>
      <c r="D105" s="809" t="b">
        <f>J$49=J$8+SUM(J$9:J$13)-SUM(J$14:J$15)+J$16-J$17+J$18+J$19+SUM(J$20:J$22)-SUM(J$23:J$28)+J$29-J$30+SUM(J$31:J$33)-J$34+SUM(J$35:J$48)</f>
        <v>1</v>
      </c>
      <c r="E105" s="810" t="s">
        <v>64</v>
      </c>
      <c r="F105" s="811"/>
      <c r="G105" s="811"/>
      <c r="H105" s="811"/>
      <c r="I105" s="811"/>
      <c r="J105" s="811"/>
      <c r="K105" s="811"/>
      <c r="L105" s="811"/>
      <c r="M105" s="811"/>
      <c r="N105" s="811"/>
      <c r="O105" s="811"/>
      <c r="P105" s="811"/>
      <c r="Q105" s="811"/>
      <c r="R105" s="811"/>
      <c r="S105" s="811"/>
      <c r="T105" s="811"/>
      <c r="U105" s="811"/>
      <c r="V105" s="811"/>
      <c r="W105" s="811"/>
      <c r="X105" s="811"/>
      <c r="Y105" s="811"/>
      <c r="Z105" s="811"/>
      <c r="AA105" s="811"/>
      <c r="AB105" s="811"/>
      <c r="AC105" s="811"/>
      <c r="AD105" s="811"/>
      <c r="AE105" s="811"/>
      <c r="AF105" s="811"/>
      <c r="AG105" s="811"/>
      <c r="AH105" s="811"/>
      <c r="AI105" s="811"/>
      <c r="AJ105" s="811"/>
      <c r="AK105" s="811"/>
    </row>
    <row r="106" spans="1:41" s="808" customFormat="1" ht="15">
      <c r="A106" s="801"/>
      <c r="B106" s="1109"/>
      <c r="C106" s="802">
        <v>530</v>
      </c>
      <c r="D106" s="809" t="b">
        <f>K$49=K$8+SUM(K$9:K$13)-SUM(K$14:K$15)+K$16-K$17+K$18+K$19+SUM(K$20:K$22)-SUM(K$23:K$28)+K$29-K$30+SUM(K$31:K$33)-K$34+SUM(K$35:K$48)</f>
        <v>1</v>
      </c>
      <c r="E106" s="810" t="s">
        <v>65</v>
      </c>
      <c r="F106" s="811"/>
      <c r="G106" s="811"/>
      <c r="H106" s="811"/>
      <c r="I106" s="811"/>
      <c r="J106" s="811"/>
      <c r="K106" s="811"/>
      <c r="L106" s="811"/>
      <c r="M106" s="811"/>
      <c r="N106" s="811"/>
      <c r="O106" s="811"/>
      <c r="P106" s="811"/>
      <c r="Q106" s="811"/>
      <c r="R106" s="811"/>
      <c r="S106" s="811"/>
      <c r="T106" s="811"/>
      <c r="U106" s="811"/>
      <c r="V106" s="811"/>
      <c r="W106" s="811"/>
      <c r="X106" s="811"/>
      <c r="Y106" s="811"/>
      <c r="Z106" s="811"/>
      <c r="AA106" s="811"/>
      <c r="AB106" s="811"/>
      <c r="AC106" s="811"/>
      <c r="AD106" s="811"/>
      <c r="AE106" s="811"/>
      <c r="AF106" s="811"/>
      <c r="AG106" s="811"/>
      <c r="AH106" s="811"/>
      <c r="AI106" s="811"/>
      <c r="AJ106" s="811"/>
      <c r="AK106" s="811"/>
    </row>
    <row r="107" spans="1:41" s="808" customFormat="1" ht="15">
      <c r="A107" s="801"/>
      <c r="B107" s="1109"/>
      <c r="C107" s="802">
        <v>540</v>
      </c>
      <c r="D107" s="809" t="b">
        <f>L$49=L$8+SUM(L$9:L$13)-SUM(L$14:L$15)+L$16-L$17+L$18+L$19+SUM(L$20:L$22)-SUM(L$23:L$28)+L$29-L$30+SUM(L$31:L$33)-L$34+SUM(L$35:L$48)</f>
        <v>1</v>
      </c>
      <c r="E107" s="810" t="s">
        <v>66</v>
      </c>
      <c r="F107" s="811"/>
      <c r="G107" s="811"/>
      <c r="H107" s="811"/>
      <c r="I107" s="811"/>
      <c r="J107" s="811"/>
      <c r="K107" s="811"/>
      <c r="L107" s="811"/>
      <c r="M107" s="811"/>
      <c r="N107" s="811"/>
      <c r="O107" s="811"/>
      <c r="P107" s="811"/>
      <c r="Q107" s="811"/>
      <c r="R107" s="811"/>
      <c r="S107" s="811"/>
      <c r="T107" s="811"/>
      <c r="U107" s="811"/>
      <c r="V107" s="811"/>
      <c r="W107" s="811"/>
      <c r="X107" s="811"/>
      <c r="Y107" s="811"/>
      <c r="Z107" s="811"/>
      <c r="AA107" s="811"/>
      <c r="AB107" s="811"/>
      <c r="AC107" s="811"/>
      <c r="AD107" s="811"/>
      <c r="AE107" s="811"/>
      <c r="AF107" s="811"/>
      <c r="AG107" s="811"/>
      <c r="AH107" s="811"/>
      <c r="AI107" s="811"/>
      <c r="AJ107" s="811"/>
      <c r="AK107" s="811"/>
    </row>
    <row r="108" spans="1:41" s="808" customFormat="1" ht="15">
      <c r="A108" s="801"/>
      <c r="B108" s="1109"/>
      <c r="C108" s="802">
        <v>550</v>
      </c>
      <c r="D108" s="809" t="b">
        <f>M$49=M$8+SUM(M$9:M$13)-SUM(M$14:M$15)+M$16-M$17+M$18+M$19+SUM(M$20:M$22)-SUM(M$23:M$28)+M$29-M$30+SUM(M$31:M$33)-M$34+SUM(M$35:M$48)</f>
        <v>1</v>
      </c>
      <c r="E108" s="810" t="s">
        <v>67</v>
      </c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1"/>
      <c r="Y108" s="811"/>
      <c r="Z108" s="811"/>
      <c r="AA108" s="811"/>
      <c r="AB108" s="811"/>
      <c r="AC108" s="811"/>
      <c r="AD108" s="811"/>
      <c r="AE108" s="811"/>
      <c r="AF108" s="811"/>
      <c r="AG108" s="811"/>
      <c r="AH108" s="811"/>
      <c r="AI108" s="811"/>
      <c r="AJ108" s="811"/>
      <c r="AK108" s="811"/>
    </row>
    <row r="109" spans="1:41" s="808" customFormat="1" ht="15">
      <c r="A109" s="801"/>
      <c r="B109" s="1109"/>
      <c r="C109" s="802">
        <v>560</v>
      </c>
      <c r="D109" s="809" t="b">
        <f>N$49=N$8+SUM(N$9:N$13)-SUM(N$14:N$15)+N$16-N$17+N$18+N$19+SUM(N$20:N$22)-SUM(N$23:N$28)+N$29-N$30+SUM(N$31:N$33)-N$34+SUM(N$35:N$48)</f>
        <v>1</v>
      </c>
      <c r="E109" s="810" t="s">
        <v>68</v>
      </c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</row>
    <row r="110" spans="1:41" s="808" customFormat="1" ht="15">
      <c r="A110" s="801"/>
      <c r="B110" s="1109"/>
      <c r="C110" s="802">
        <v>570</v>
      </c>
      <c r="D110" s="809" t="b">
        <f>O$49=O$8+SUM(O$9:O$13)-SUM(O$14:O$15)+O$16-O$17+O$18+O$19+SUM(O$20:O$22)-SUM(O$23:O$28)+O$29-O$30+SUM(O$31:O$33)-O$34+SUM(O$35:O$48)</f>
        <v>1</v>
      </c>
      <c r="E110" s="810" t="s">
        <v>69</v>
      </c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1"/>
      <c r="Q110" s="811"/>
      <c r="R110" s="811"/>
      <c r="S110" s="811"/>
      <c r="T110" s="811"/>
      <c r="U110" s="811"/>
      <c r="V110" s="811"/>
      <c r="W110" s="811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  <c r="AJ110" s="811"/>
      <c r="AK110" s="811"/>
    </row>
    <row r="111" spans="1:41" s="808" customFormat="1" ht="15">
      <c r="A111" s="801"/>
      <c r="B111" s="1109"/>
      <c r="C111" s="802">
        <v>580</v>
      </c>
      <c r="D111" s="809" t="b">
        <f>P$49=P$8+SUM(P$9:P$13)-SUM(P$14:P$15)+P$16-P$17+P$18+P$19+SUM(P$20:P$22)-SUM(P$23:P$28)+P$29-P$30+SUM(P$31:P$33)-P$34+SUM(P$35:P$48)</f>
        <v>1</v>
      </c>
      <c r="E111" s="810" t="s">
        <v>70</v>
      </c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1"/>
      <c r="S111" s="811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1"/>
      <c r="AK111" s="811"/>
    </row>
    <row r="112" spans="1:41" s="808" customFormat="1" ht="15">
      <c r="A112" s="812"/>
      <c r="B112" s="1109"/>
      <c r="C112" s="802">
        <v>590</v>
      </c>
      <c r="D112" s="809" t="b">
        <f>Q$49=Q$8+SUM(Q$9:Q$13)-SUM(Q$14:Q$15)+Q$16-Q$17+Q$18+Q$19+SUM(Q$20:Q$22)-SUM(Q$23:Q$28)+Q$29-Q$30+SUM(Q$31:Q$33)-Q$34+SUM(Q$35:Q$48)</f>
        <v>1</v>
      </c>
      <c r="E112" s="810" t="s">
        <v>71</v>
      </c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1"/>
      <c r="Y112" s="811"/>
      <c r="Z112" s="811"/>
      <c r="AA112" s="811"/>
      <c r="AB112" s="811"/>
      <c r="AC112" s="811"/>
      <c r="AD112" s="811"/>
      <c r="AE112" s="811"/>
      <c r="AF112" s="811"/>
      <c r="AG112" s="811"/>
      <c r="AH112" s="811"/>
      <c r="AI112" s="811"/>
      <c r="AJ112" s="811"/>
      <c r="AK112" s="811"/>
    </row>
    <row r="113" spans="1:37" s="808" customFormat="1" ht="15">
      <c r="A113" s="812"/>
      <c r="B113" s="1109"/>
      <c r="C113" s="802">
        <v>600</v>
      </c>
      <c r="D113" s="809" t="b">
        <f>R$49=R$8+SUM(R$9:R$13)-SUM(R$14:R$15)+R$16-R$17+R$18+R$19+SUM(R$20:R$22)-SUM(R$23:R$28)+R$29-R$30+SUM(R$31:R$33)-R$34+SUM(R$35:R$48)</f>
        <v>1</v>
      </c>
      <c r="E113" s="810" t="s">
        <v>72</v>
      </c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</row>
    <row r="114" spans="1:37" s="808" customFormat="1" ht="15">
      <c r="A114" s="812"/>
      <c r="B114" s="1109"/>
      <c r="C114" s="802">
        <v>610</v>
      </c>
      <c r="D114" s="809" t="b">
        <f>S$49=S$8+SUM(S$9:S$13)-SUM(S$14:S$15)+S$16-S$17+S$18+S$19+SUM(S$20:S$22)-SUM(S$23:S$28)+S$29-S$30+SUM(S$31:S$33)-S$34+SUM(S$35:S$48)</f>
        <v>1</v>
      </c>
      <c r="E114" s="810" t="s">
        <v>73</v>
      </c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811"/>
      <c r="U114" s="811"/>
      <c r="V114" s="811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</row>
    <row r="115" spans="1:37" s="808" customFormat="1" ht="15">
      <c r="A115" s="812"/>
      <c r="B115" s="1109"/>
      <c r="C115" s="802">
        <v>620</v>
      </c>
      <c r="D115" s="809" t="b">
        <f>T$49=T$8+SUM(T$9:T$13)-SUM(T$14:T$15)+T$16-T$17+T$18+T$19+SUM(T$20:T$22)-SUM(T$23:T$28)+T$29-T$30+SUM(T$31:T$33)-T$34+SUM(T$35:T$48)</f>
        <v>1</v>
      </c>
      <c r="E115" s="810" t="s">
        <v>74</v>
      </c>
      <c r="F115" s="811"/>
      <c r="G115" s="811"/>
      <c r="H115" s="811"/>
      <c r="I115" s="811"/>
      <c r="J115" s="811"/>
      <c r="K115" s="811"/>
      <c r="L115" s="811"/>
      <c r="M115" s="811"/>
      <c r="N115" s="811"/>
      <c r="O115" s="811"/>
      <c r="P115" s="811"/>
      <c r="Q115" s="811"/>
      <c r="R115" s="811"/>
      <c r="S115" s="811"/>
      <c r="T115" s="811"/>
      <c r="U115" s="811"/>
      <c r="V115" s="811"/>
      <c r="W115" s="811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811"/>
      <c r="AK115" s="811"/>
    </row>
    <row r="116" spans="1:37" s="808" customFormat="1" ht="15">
      <c r="A116" s="812"/>
      <c r="B116" s="1109"/>
      <c r="C116" s="802">
        <v>630</v>
      </c>
      <c r="D116" s="809" t="b">
        <f>U$49=U$8+SUM(U$9:U$13)-SUM(U$14:U$15)+U$16-U$17+U$18+U$19+SUM(U$20:U$22)-SUM(U$23:U$28)+U$29-U$30+SUM(U$31:U$33)-U$34+SUM(U$35:U$48)</f>
        <v>1</v>
      </c>
      <c r="E116" s="810" t="s">
        <v>75</v>
      </c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811"/>
      <c r="Y116" s="811"/>
      <c r="Z116" s="811"/>
      <c r="AA116" s="811"/>
      <c r="AB116" s="811"/>
      <c r="AC116" s="811"/>
      <c r="AD116" s="811"/>
      <c r="AE116" s="811"/>
      <c r="AF116" s="811"/>
      <c r="AG116" s="811"/>
      <c r="AH116" s="811"/>
      <c r="AI116" s="811"/>
      <c r="AJ116" s="811"/>
      <c r="AK116" s="811"/>
    </row>
    <row r="117" spans="1:37" s="808" customFormat="1" ht="15">
      <c r="A117" s="812"/>
      <c r="B117" s="1109"/>
      <c r="C117" s="802">
        <v>640</v>
      </c>
      <c r="D117" s="809" t="b">
        <f>V$49=V$8+SUM(V$9:V$13)-SUM(V$14:V$15)+V$16-V$17+V$18+V$19+SUM(V$20:V$22)-SUM(V$23:V$28)+V$29-V$30+SUM(V$31:V$33)-V$34+SUM(V$35:V$48)</f>
        <v>1</v>
      </c>
      <c r="E117" s="810" t="s">
        <v>76</v>
      </c>
      <c r="F117" s="811"/>
      <c r="G117" s="811"/>
      <c r="H117" s="811"/>
      <c r="I117" s="811"/>
      <c r="J117" s="811"/>
      <c r="K117" s="811"/>
      <c r="L117" s="811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1"/>
      <c r="AA117" s="811"/>
      <c r="AB117" s="811"/>
      <c r="AC117" s="811"/>
      <c r="AD117" s="811"/>
      <c r="AE117" s="811"/>
      <c r="AF117" s="811"/>
      <c r="AG117" s="811"/>
      <c r="AH117" s="811"/>
      <c r="AI117" s="811"/>
      <c r="AJ117" s="811"/>
      <c r="AK117" s="811"/>
    </row>
    <row r="118" spans="1:37" ht="15">
      <c r="B118" s="1109"/>
      <c r="C118" s="802">
        <v>650</v>
      </c>
      <c r="D118" s="809" t="b">
        <f>W$49=W$8+SUM(W$9:W$13)-SUM(W$14:W$15)+W$16-W$17+W$18+W$19+SUM(W$20:W$22)-SUM(W$23:W$28)+W$29-W$30+SUM(W$31:W$33)-W$34+SUM(W$35:W$48)</f>
        <v>1</v>
      </c>
      <c r="E118" s="810" t="s">
        <v>77</v>
      </c>
      <c r="F118" s="813"/>
      <c r="G118" s="813"/>
      <c r="H118" s="813"/>
      <c r="I118" s="813"/>
      <c r="J118" s="813"/>
      <c r="K118" s="813"/>
      <c r="L118" s="813"/>
      <c r="M118" s="813"/>
      <c r="N118" s="813"/>
      <c r="O118" s="813"/>
      <c r="P118" s="813"/>
      <c r="Q118" s="813"/>
      <c r="R118" s="813"/>
      <c r="S118" s="813"/>
      <c r="T118" s="813"/>
      <c r="U118" s="813"/>
      <c r="V118" s="813"/>
      <c r="W118" s="813"/>
      <c r="X118" s="813"/>
      <c r="Y118" s="813"/>
      <c r="Z118" s="813"/>
      <c r="AA118" s="813"/>
      <c r="AB118" s="813"/>
      <c r="AC118" s="813"/>
      <c r="AD118" s="813"/>
      <c r="AE118" s="813"/>
      <c r="AF118" s="813"/>
      <c r="AG118" s="813"/>
      <c r="AH118" s="813"/>
      <c r="AI118" s="813"/>
      <c r="AJ118" s="813"/>
      <c r="AK118" s="813"/>
    </row>
    <row r="119" spans="1:37" ht="15">
      <c r="D119" s="809"/>
    </row>
  </sheetData>
  <customSheetViews>
    <customSheetView guid="{5D819D0C-25F7-408A-B978-F4F86F7655CA}" scale="60" showPageBreaks="1" view="pageBreakPreview" showRuler="0" topLeftCell="B13">
      <selection activeCell="A23" sqref="A23"/>
      <pageMargins left="0.75" right="0.75" top="1" bottom="1" header="0.5" footer="0.5"/>
      <pageSetup paperSize="8" scale="56" orientation="portrait" r:id="rId1"/>
      <headerFooter alignWithMargins="0"/>
    </customSheetView>
    <customSheetView guid="{38D2783F-AA27-4F4E-971B-4DC317F376AA}" showPageBreaks="1" showGridLines="0" showRuler="0">
      <selection activeCell="G10" sqref="G10"/>
      <pageMargins left="0.75" right="0.75" top="1" bottom="1" header="0.5" footer="0.5"/>
      <pageSetup paperSize="8" scale="56" orientation="portrait" r:id="rId2"/>
      <headerFooter alignWithMargins="0"/>
    </customSheetView>
    <customSheetView guid="{5B30C222-34DE-40B1-88FD-0AC1604C96E8}" showGridLines="0" showRuler="0">
      <selection activeCell="G10" sqref="G10"/>
      <pageMargins left="0.75" right="0.75" top="1" bottom="1" header="0.5" footer="0.5"/>
      <pageSetup paperSize="8" scale="56" orientation="portrait" r:id="rId3"/>
      <headerFooter alignWithMargins="0"/>
    </customSheetView>
  </customSheetViews>
  <mergeCells count="13">
    <mergeCell ref="A49:B49"/>
    <mergeCell ref="U2:V2"/>
    <mergeCell ref="Z7:AA7"/>
    <mergeCell ref="Z49:AA49"/>
    <mergeCell ref="D2:E2"/>
    <mergeCell ref="G2:H2"/>
    <mergeCell ref="I2:P2"/>
    <mergeCell ref="B2:B4"/>
    <mergeCell ref="AS1:AT1"/>
    <mergeCell ref="AB1:AC1"/>
    <mergeCell ref="AE1:AF1"/>
    <mergeCell ref="AG1:AN1"/>
    <mergeCell ref="A8:B8"/>
  </mergeCells>
  <phoneticPr fontId="0" type="noConversion"/>
  <pageMargins left="0.21" right="0.12" top="0.3" bottom="0.12" header="0.2" footer="0.11"/>
  <pageSetup paperSize="8" scale="76" orientation="landscape" r:id="rId4"/>
  <headerFooter alignWithMargins="0"/>
  <rowBreaks count="1" manualBreakCount="1">
    <brk id="50" max="16383" man="1"/>
  </rowBreaks>
  <legacyDrawing r:id="rId5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J57"/>
  <sheetViews>
    <sheetView zoomScaleNormal="100" workbookViewId="0"/>
  </sheetViews>
  <sheetFormatPr defaultRowHeight="12.75"/>
  <cols>
    <col min="1" max="1" width="28.7109375" customWidth="1"/>
    <col min="2" max="2" width="20.7109375" customWidth="1"/>
    <col min="3" max="3" width="18.28515625" customWidth="1"/>
    <col min="4" max="4" width="32.140625" customWidth="1"/>
  </cols>
  <sheetData>
    <row r="2" spans="1:4" ht="16.5" thickBot="1">
      <c r="A2" s="751" t="s">
        <v>445</v>
      </c>
      <c r="B2" s="718"/>
      <c r="C2" s="279"/>
      <c r="D2" s="506"/>
    </row>
    <row r="3" spans="1:4" ht="15.75" thickBot="1">
      <c r="A3" s="752"/>
      <c r="B3" s="1221" t="s">
        <v>1129</v>
      </c>
      <c r="C3" s="753"/>
      <c r="D3" s="746"/>
    </row>
    <row r="4" spans="1:4" ht="30" thickBot="1">
      <c r="A4" s="754"/>
      <c r="B4" s="1222"/>
      <c r="C4" s="755"/>
      <c r="D4" s="271" t="s">
        <v>421</v>
      </c>
    </row>
    <row r="5" spans="1:4" ht="15.75" thickBot="1">
      <c r="A5" s="756"/>
      <c r="B5" s="784"/>
      <c r="C5" s="757" t="s">
        <v>1012</v>
      </c>
      <c r="D5" s="758" t="s">
        <v>1013</v>
      </c>
    </row>
    <row r="6" spans="1:4" ht="30.75" thickBot="1">
      <c r="A6" s="759" t="s">
        <v>1561</v>
      </c>
      <c r="B6" s="692" t="s">
        <v>397</v>
      </c>
      <c r="C6" s="120">
        <v>8100</v>
      </c>
      <c r="D6" s="1086">
        <f>'2.0'!E79</f>
        <v>760</v>
      </c>
    </row>
    <row r="7" spans="1:4" ht="30.75" thickBot="1">
      <c r="A7" s="759" t="s">
        <v>1562</v>
      </c>
      <c r="B7" s="692" t="s">
        <v>398</v>
      </c>
      <c r="C7" s="120">
        <v>8110</v>
      </c>
      <c r="D7" s="1054"/>
    </row>
    <row r="8" spans="1:4" ht="15.75" thickBot="1">
      <c r="A8" s="747" t="s">
        <v>472</v>
      </c>
      <c r="B8" s="123" t="s">
        <v>1594</v>
      </c>
      <c r="C8" s="120">
        <v>8120</v>
      </c>
      <c r="D8" s="1049">
        <v>30</v>
      </c>
    </row>
    <row r="9" spans="1:4" ht="15.75" thickBot="1">
      <c r="A9" s="747" t="s">
        <v>477</v>
      </c>
      <c r="B9" s="123" t="s">
        <v>399</v>
      </c>
      <c r="C9" s="120">
        <v>8130</v>
      </c>
      <c r="D9" s="1050">
        <v>27</v>
      </c>
    </row>
    <row r="10" spans="1:4" ht="45.75" thickBot="1">
      <c r="A10" s="747" t="s">
        <v>1597</v>
      </c>
      <c r="B10" s="123" t="s">
        <v>400</v>
      </c>
      <c r="C10" s="120">
        <v>8140</v>
      </c>
      <c r="D10" s="1087">
        <f>+D11-D12+D13</f>
        <v>10</v>
      </c>
    </row>
    <row r="11" spans="1:4" ht="30.75" thickBot="1">
      <c r="A11" s="747" t="s">
        <v>1563</v>
      </c>
      <c r="B11" s="123" t="s">
        <v>401</v>
      </c>
      <c r="C11" s="120">
        <v>8150</v>
      </c>
      <c r="D11" s="1051">
        <v>3</v>
      </c>
    </row>
    <row r="12" spans="1:4" ht="15.75" thickBot="1">
      <c r="A12" s="747" t="s">
        <v>1555</v>
      </c>
      <c r="B12" s="123" t="s">
        <v>401</v>
      </c>
      <c r="C12" s="120">
        <v>8160</v>
      </c>
      <c r="D12" s="1051">
        <v>1</v>
      </c>
    </row>
    <row r="13" spans="1:4" ht="15.75" thickBot="1">
      <c r="A13" s="747" t="s">
        <v>1556</v>
      </c>
      <c r="B13" s="123" t="s">
        <v>401</v>
      </c>
      <c r="C13" s="120">
        <v>8170</v>
      </c>
      <c r="D13" s="1051">
        <v>8</v>
      </c>
    </row>
    <row r="14" spans="1:4" ht="15.75" thickBot="1">
      <c r="A14" s="747" t="s">
        <v>771</v>
      </c>
      <c r="B14" s="123" t="s">
        <v>402</v>
      </c>
      <c r="C14" s="120">
        <v>8180</v>
      </c>
      <c r="D14" s="1087">
        <f>+D15-D16+D17</f>
        <v>18</v>
      </c>
    </row>
    <row r="15" spans="1:4" ht="30.75" thickBot="1">
      <c r="A15" s="747" t="s">
        <v>1620</v>
      </c>
      <c r="B15" s="123" t="s">
        <v>401</v>
      </c>
      <c r="C15" s="120">
        <v>8190</v>
      </c>
      <c r="D15" s="1051">
        <v>5</v>
      </c>
    </row>
    <row r="16" spans="1:4" ht="15.75" thickBot="1">
      <c r="A16" s="747" t="s">
        <v>1555</v>
      </c>
      <c r="B16" s="123" t="s">
        <v>401</v>
      </c>
      <c r="C16" s="120">
        <v>8200</v>
      </c>
      <c r="D16" s="1051">
        <v>0</v>
      </c>
    </row>
    <row r="17" spans="1:4" ht="15.75" thickBot="1">
      <c r="A17" s="747" t="s">
        <v>1556</v>
      </c>
      <c r="B17" s="123" t="s">
        <v>401</v>
      </c>
      <c r="C17" s="120">
        <v>8210</v>
      </c>
      <c r="D17" s="1051">
        <v>13</v>
      </c>
    </row>
    <row r="18" spans="1:4" ht="30.75" thickBot="1">
      <c r="A18" s="747" t="s">
        <v>2505</v>
      </c>
      <c r="B18" s="123" t="s">
        <v>404</v>
      </c>
      <c r="C18" s="120">
        <v>8220</v>
      </c>
      <c r="D18" s="1088">
        <f>+D19-D20-D21+D22</f>
        <v>5</v>
      </c>
    </row>
    <row r="19" spans="1:4" ht="30.75" thickBot="1">
      <c r="A19" s="747" t="s">
        <v>1563</v>
      </c>
      <c r="B19" s="123" t="s">
        <v>401</v>
      </c>
      <c r="C19" s="120">
        <v>8230</v>
      </c>
      <c r="D19" s="1051">
        <v>21</v>
      </c>
    </row>
    <row r="20" spans="1:4" ht="15.75" thickBot="1">
      <c r="A20" s="747" t="s">
        <v>1555</v>
      </c>
      <c r="B20" s="123" t="s">
        <v>401</v>
      </c>
      <c r="C20" s="120">
        <v>8240</v>
      </c>
      <c r="D20" s="1051">
        <v>5</v>
      </c>
    </row>
    <row r="21" spans="1:4" ht="30.75" thickBot="1">
      <c r="A21" s="747" t="s">
        <v>1557</v>
      </c>
      <c r="B21" s="123" t="s">
        <v>405</v>
      </c>
      <c r="C21" s="120">
        <v>8250</v>
      </c>
      <c r="D21" s="1051">
        <v>15</v>
      </c>
    </row>
    <row r="22" spans="1:4" ht="15.75" thickBot="1">
      <c r="A22" s="747" t="s">
        <v>1556</v>
      </c>
      <c r="B22" s="123" t="s">
        <v>405</v>
      </c>
      <c r="C22" s="120">
        <v>8260</v>
      </c>
      <c r="D22" s="1051">
        <v>4</v>
      </c>
    </row>
    <row r="23" spans="1:4" ht="30.75" thickBot="1">
      <c r="A23" s="747" t="s">
        <v>1101</v>
      </c>
      <c r="B23" s="123" t="s">
        <v>406</v>
      </c>
      <c r="C23" s="120">
        <v>8270</v>
      </c>
      <c r="D23" s="1087">
        <f>+D24-D25+D26</f>
        <v>10</v>
      </c>
    </row>
    <row r="24" spans="1:4" ht="30.75" thickBot="1">
      <c r="A24" s="747" t="s">
        <v>1563</v>
      </c>
      <c r="B24" s="123" t="s">
        <v>405</v>
      </c>
      <c r="C24" s="120">
        <v>8280</v>
      </c>
      <c r="D24" s="1051">
        <v>7</v>
      </c>
    </row>
    <row r="25" spans="1:4" ht="15.75" thickBot="1">
      <c r="A25" s="747" t="s">
        <v>1555</v>
      </c>
      <c r="B25" s="123" t="s">
        <v>401</v>
      </c>
      <c r="C25" s="120">
        <v>8290</v>
      </c>
      <c r="D25" s="1051">
        <v>6</v>
      </c>
    </row>
    <row r="26" spans="1:4" ht="15.75" thickBot="1">
      <c r="A26" s="747" t="s">
        <v>1556</v>
      </c>
      <c r="B26" s="123" t="s">
        <v>401</v>
      </c>
      <c r="C26" s="120">
        <v>8300</v>
      </c>
      <c r="D26" s="1051">
        <v>9</v>
      </c>
    </row>
    <row r="27" spans="1:4" ht="30.75" thickBot="1">
      <c r="A27" s="747" t="s">
        <v>1558</v>
      </c>
      <c r="B27" s="123" t="s">
        <v>2509</v>
      </c>
      <c r="C27" s="120">
        <v>8310</v>
      </c>
      <c r="D27" s="1087">
        <f>+D28-D29+D30</f>
        <v>10</v>
      </c>
    </row>
    <row r="28" spans="1:4" ht="30.75" thickBot="1">
      <c r="A28" s="747" t="s">
        <v>1563</v>
      </c>
      <c r="B28" s="123" t="s">
        <v>401</v>
      </c>
      <c r="C28" s="120">
        <v>8320</v>
      </c>
      <c r="D28" s="1051">
        <v>2</v>
      </c>
    </row>
    <row r="29" spans="1:4" ht="15.75" thickBot="1">
      <c r="A29" s="747" t="s">
        <v>1555</v>
      </c>
      <c r="B29" s="123" t="s">
        <v>401</v>
      </c>
      <c r="C29" s="120">
        <v>8330</v>
      </c>
      <c r="D29" s="1051">
        <v>0</v>
      </c>
    </row>
    <row r="30" spans="1:4" ht="15.75" thickBot="1">
      <c r="A30" s="747" t="s">
        <v>1556</v>
      </c>
      <c r="B30" s="123" t="s">
        <v>401</v>
      </c>
      <c r="C30" s="120">
        <v>8340</v>
      </c>
      <c r="D30" s="1051">
        <v>8</v>
      </c>
    </row>
    <row r="31" spans="1:4" ht="30.75" thickBot="1">
      <c r="A31" s="747" t="s">
        <v>2477</v>
      </c>
      <c r="B31" s="123" t="s">
        <v>405</v>
      </c>
      <c r="C31" s="120">
        <v>8350</v>
      </c>
      <c r="D31" s="1051">
        <v>20</v>
      </c>
    </row>
    <row r="32" spans="1:4" ht="60.75" thickBot="1">
      <c r="A32" s="747" t="s">
        <v>1559</v>
      </c>
      <c r="B32" s="123" t="s">
        <v>401</v>
      </c>
      <c r="C32" s="120">
        <v>8360</v>
      </c>
      <c r="D32" s="1051">
        <v>0</v>
      </c>
    </row>
    <row r="33" spans="1:36" ht="15.75" thickBot="1">
      <c r="A33" s="747" t="s">
        <v>334</v>
      </c>
      <c r="B33" s="123" t="s">
        <v>405</v>
      </c>
      <c r="C33" s="120">
        <v>8370</v>
      </c>
      <c r="D33" s="1051">
        <v>14</v>
      </c>
    </row>
    <row r="34" spans="1:36" ht="45.75" thickBot="1">
      <c r="A34" s="747" t="s">
        <v>835</v>
      </c>
      <c r="B34" s="123" t="s">
        <v>405</v>
      </c>
      <c r="C34" s="120">
        <v>8380</v>
      </c>
      <c r="D34" s="1052">
        <v>22</v>
      </c>
    </row>
    <row r="35" spans="1:36" ht="43.5" thickBot="1">
      <c r="A35" s="73" t="s">
        <v>836</v>
      </c>
      <c r="B35" s="748" t="s">
        <v>405</v>
      </c>
      <c r="C35" s="120">
        <v>8390</v>
      </c>
      <c r="D35" s="1086">
        <f>+D6+D8+D9+D10+D14+D18+D23+D27+D31+D32+D33+D34</f>
        <v>926</v>
      </c>
    </row>
    <row r="36" spans="1:36" ht="30.75" thickBot="1">
      <c r="A36" s="747" t="s">
        <v>564</v>
      </c>
      <c r="B36" s="123" t="s">
        <v>405</v>
      </c>
      <c r="C36" s="120">
        <v>8400</v>
      </c>
      <c r="D36" s="1053">
        <v>851</v>
      </c>
    </row>
    <row r="37" spans="1:36" ht="15.75" thickBot="1">
      <c r="A37" s="747" t="s">
        <v>565</v>
      </c>
      <c r="B37" s="123" t="s">
        <v>403</v>
      </c>
      <c r="C37" s="120">
        <v>8410</v>
      </c>
      <c r="D37" s="1052">
        <v>75</v>
      </c>
    </row>
    <row r="38" spans="1:36" ht="45.75" thickBot="1">
      <c r="A38" s="747" t="s">
        <v>903</v>
      </c>
      <c r="B38" s="736"/>
      <c r="C38" s="120">
        <v>8420</v>
      </c>
      <c r="D38" s="1091"/>
    </row>
    <row r="39" spans="1:36" ht="15.75" thickBot="1">
      <c r="A39" s="747" t="s">
        <v>904</v>
      </c>
      <c r="B39" s="123" t="s">
        <v>407</v>
      </c>
      <c r="C39" s="120">
        <v>8430</v>
      </c>
      <c r="D39" s="1088">
        <f>SUM(D40:D41)</f>
        <v>13</v>
      </c>
    </row>
    <row r="40" spans="1:36" ht="15.75" thickBot="1">
      <c r="A40" s="747" t="s">
        <v>1617</v>
      </c>
      <c r="B40" s="123" t="s">
        <v>408</v>
      </c>
      <c r="C40" s="120">
        <v>8440</v>
      </c>
      <c r="D40" s="1051">
        <v>8</v>
      </c>
    </row>
    <row r="41" spans="1:36" ht="15.75" thickBot="1">
      <c r="A41" s="747" t="s">
        <v>1618</v>
      </c>
      <c r="B41" s="123" t="s">
        <v>408</v>
      </c>
      <c r="C41" s="120">
        <v>8450</v>
      </c>
      <c r="D41" s="1051">
        <v>5</v>
      </c>
    </row>
    <row r="42" spans="1:36" ht="30.75" thickBot="1">
      <c r="A42" s="747" t="s">
        <v>1619</v>
      </c>
      <c r="B42" s="123" t="s">
        <v>409</v>
      </c>
      <c r="C42" s="120">
        <v>8460</v>
      </c>
      <c r="D42" s="1088">
        <f>SUM(D43:D44)</f>
        <v>24</v>
      </c>
    </row>
    <row r="43" spans="1:36" ht="15">
      <c r="A43" s="749" t="s">
        <v>1617</v>
      </c>
      <c r="B43" s="750" t="s">
        <v>410</v>
      </c>
      <c r="C43" s="120">
        <v>8470</v>
      </c>
      <c r="D43" s="1051">
        <v>16</v>
      </c>
    </row>
    <row r="44" spans="1:36" ht="15.75" thickBot="1">
      <c r="A44" s="760" t="s">
        <v>1618</v>
      </c>
      <c r="B44" s="761" t="s">
        <v>410</v>
      </c>
      <c r="C44" s="762">
        <v>8480</v>
      </c>
      <c r="D44" s="1051">
        <v>8</v>
      </c>
    </row>
    <row r="47" spans="1:36" s="807" customFormat="1" ht="15">
      <c r="A47" s="801"/>
      <c r="B47" s="1134">
        <v>660</v>
      </c>
      <c r="C47" s="814" t="b">
        <f>D10=D11-D12+D13</f>
        <v>1</v>
      </c>
      <c r="D47" s="804" t="s">
        <v>1688</v>
      </c>
      <c r="E47" s="805"/>
      <c r="F47" s="805"/>
      <c r="G47" s="805"/>
      <c r="H47" s="805"/>
      <c r="I47" s="805"/>
      <c r="J47" s="805"/>
      <c r="K47" s="805"/>
      <c r="L47" s="805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</row>
    <row r="48" spans="1:36" ht="15">
      <c r="B48" s="1134">
        <v>670</v>
      </c>
      <c r="C48" s="814" t="b">
        <f>D14=D15-D16+D17</f>
        <v>1</v>
      </c>
      <c r="D48" s="804" t="s">
        <v>1689</v>
      </c>
    </row>
    <row r="49" spans="2:4" ht="15">
      <c r="B49" s="1134">
        <v>680</v>
      </c>
      <c r="C49" s="814" t="b">
        <f>D18=D19-D20-D21+D22</f>
        <v>1</v>
      </c>
      <c r="D49" s="804" t="s">
        <v>1690</v>
      </c>
    </row>
    <row r="50" spans="2:4" ht="15">
      <c r="B50" s="1134">
        <v>690</v>
      </c>
      <c r="C50" s="814" t="b">
        <f>D23=D24-D25+D26</f>
        <v>1</v>
      </c>
      <c r="D50" s="804" t="s">
        <v>1691</v>
      </c>
    </row>
    <row r="51" spans="2:4" ht="15">
      <c r="B51" s="1134">
        <v>700</v>
      </c>
      <c r="C51" s="814" t="b">
        <f>D27=D28-D29+D30</f>
        <v>1</v>
      </c>
      <c r="D51" s="804" t="s">
        <v>1692</v>
      </c>
    </row>
    <row r="52" spans="2:4" ht="15">
      <c r="B52" s="1134">
        <v>710</v>
      </c>
      <c r="C52" s="814" t="b">
        <f>D35=D6+D8+D9+D10+D14+D18+D23+D27+D31+D32+D33+D34</f>
        <v>1</v>
      </c>
      <c r="D52" s="804" t="s">
        <v>1693</v>
      </c>
    </row>
    <row r="53" spans="2:4" ht="15">
      <c r="B53" s="1134">
        <v>720</v>
      </c>
      <c r="C53" s="814" t="b">
        <f>D6='2.0'!E79</f>
        <v>1</v>
      </c>
      <c r="D53" s="804" t="s">
        <v>1694</v>
      </c>
    </row>
    <row r="54" spans="2:4" ht="15">
      <c r="B54" s="1134">
        <v>730</v>
      </c>
      <c r="C54" s="814" t="b">
        <f>D35=D36+D37</f>
        <v>1</v>
      </c>
      <c r="D54" s="804" t="s">
        <v>1695</v>
      </c>
    </row>
    <row r="55" spans="2:4" ht="15">
      <c r="B55" s="1134">
        <v>740</v>
      </c>
      <c r="C55" s="814" t="b">
        <f>D39=D40+D41</f>
        <v>1</v>
      </c>
      <c r="D55" s="804" t="s">
        <v>2815</v>
      </c>
    </row>
    <row r="56" spans="2:4" ht="15">
      <c r="B56" s="1134">
        <v>750</v>
      </c>
      <c r="C56" s="814" t="b">
        <f>D42=D43+D44</f>
        <v>1</v>
      </c>
      <c r="D56" s="804" t="s">
        <v>2816</v>
      </c>
    </row>
    <row r="57" spans="2:4" ht="13.5">
      <c r="B57" s="1134"/>
    </row>
  </sheetData>
  <mergeCells count="1">
    <mergeCell ref="B3:B4"/>
  </mergeCells>
  <phoneticPr fontId="8" type="noConversion"/>
  <pageMargins left="0.75" right="0.75" top="1" bottom="1" header="0.5" footer="0.5"/>
  <pageSetup paperSize="9" scale="65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K83"/>
  <sheetViews>
    <sheetView topLeftCell="A37" zoomScaleNormal="100" workbookViewId="0">
      <selection activeCell="A74" sqref="A74"/>
    </sheetView>
  </sheetViews>
  <sheetFormatPr defaultRowHeight="12.75"/>
  <cols>
    <col min="1" max="1" width="46" customWidth="1"/>
    <col min="2" max="2" width="14.140625" customWidth="1"/>
    <col min="4" max="4" width="16.85546875" customWidth="1"/>
  </cols>
  <sheetData>
    <row r="1" spans="1:14" ht="15.75">
      <c r="A1" s="737" t="s">
        <v>1811</v>
      </c>
      <c r="B1" s="279"/>
      <c r="C1" s="279"/>
      <c r="D1" s="506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05.75">
      <c r="A2" s="730"/>
      <c r="B2" s="279"/>
      <c r="C2" s="279"/>
      <c r="D2" s="785" t="s">
        <v>865</v>
      </c>
      <c r="E2" s="769"/>
      <c r="F2" s="787" t="s">
        <v>2368</v>
      </c>
      <c r="G2" s="785" t="s">
        <v>761</v>
      </c>
      <c r="H2" s="769"/>
      <c r="I2" s="787" t="s">
        <v>910</v>
      </c>
      <c r="J2" s="787" t="s">
        <v>911</v>
      </c>
      <c r="K2" s="787" t="s">
        <v>912</v>
      </c>
      <c r="L2" s="787" t="s">
        <v>423</v>
      </c>
      <c r="M2" s="816" t="s">
        <v>424</v>
      </c>
      <c r="N2" s="818" t="s">
        <v>1059</v>
      </c>
    </row>
    <row r="3" spans="1:14" ht="160.5">
      <c r="A3" s="763" t="s">
        <v>763</v>
      </c>
      <c r="B3" s="764"/>
      <c r="C3" s="764"/>
      <c r="D3" s="768" t="s">
        <v>2367</v>
      </c>
      <c r="E3" s="768" t="s">
        <v>765</v>
      </c>
      <c r="F3" s="786"/>
      <c r="G3" s="768" t="s">
        <v>2369</v>
      </c>
      <c r="H3" s="768" t="s">
        <v>2370</v>
      </c>
      <c r="I3" s="786"/>
      <c r="J3" s="786"/>
      <c r="K3" s="786"/>
      <c r="L3" s="786"/>
      <c r="M3" s="817"/>
      <c r="N3" s="786"/>
    </row>
    <row r="4" spans="1:14" ht="45">
      <c r="A4" s="763"/>
      <c r="B4" s="764" t="s">
        <v>1129</v>
      </c>
      <c r="C4" s="766"/>
      <c r="D4" s="767" t="s">
        <v>166</v>
      </c>
      <c r="E4" s="767" t="s">
        <v>2078</v>
      </c>
      <c r="F4" s="767" t="s">
        <v>166</v>
      </c>
      <c r="G4" s="767" t="s">
        <v>167</v>
      </c>
      <c r="H4" s="767" t="s">
        <v>168</v>
      </c>
      <c r="I4" s="767" t="s">
        <v>166</v>
      </c>
      <c r="J4" s="767" t="s">
        <v>777</v>
      </c>
      <c r="K4" s="767" t="s">
        <v>166</v>
      </c>
      <c r="L4" s="765"/>
      <c r="M4" s="765"/>
      <c r="N4" s="786"/>
    </row>
    <row r="5" spans="1:14" ht="15.75" thickBot="1">
      <c r="A5" s="730"/>
      <c r="B5" s="279"/>
      <c r="C5" s="121" t="s">
        <v>1012</v>
      </c>
      <c r="D5" s="733" t="s">
        <v>1013</v>
      </c>
      <c r="E5" s="734" t="s">
        <v>1014</v>
      </c>
      <c r="F5" s="735" t="s">
        <v>1015</v>
      </c>
      <c r="G5" s="734" t="s">
        <v>1016</v>
      </c>
      <c r="H5" s="735" t="s">
        <v>525</v>
      </c>
      <c r="I5" s="734" t="s">
        <v>526</v>
      </c>
      <c r="J5" s="735" t="s">
        <v>1415</v>
      </c>
      <c r="K5" s="734" t="s">
        <v>1118</v>
      </c>
      <c r="L5" s="735" t="s">
        <v>1126</v>
      </c>
      <c r="M5" s="734" t="s">
        <v>1127</v>
      </c>
      <c r="N5" s="734" t="s">
        <v>2080</v>
      </c>
    </row>
    <row r="6" spans="1:14" ht="30">
      <c r="A6" s="123" t="s">
        <v>778</v>
      </c>
      <c r="B6" s="123" t="s">
        <v>779</v>
      </c>
      <c r="C6" s="122">
        <v>8100</v>
      </c>
      <c r="D6" s="1057">
        <v>10</v>
      </c>
      <c r="E6" s="1058">
        <v>5</v>
      </c>
      <c r="F6" s="1058">
        <v>10</v>
      </c>
      <c r="G6" s="1058">
        <v>8</v>
      </c>
      <c r="H6" s="1058">
        <v>2</v>
      </c>
      <c r="I6" s="1058">
        <v>10</v>
      </c>
      <c r="J6" s="1058">
        <v>5</v>
      </c>
      <c r="K6" s="1058">
        <v>20</v>
      </c>
      <c r="L6" s="1058">
        <v>5</v>
      </c>
      <c r="M6" s="1059">
        <v>5</v>
      </c>
      <c r="N6" s="1081">
        <f>D6+E6+F6+G6+H6+I6-J6+K6-L6+M6</f>
        <v>60</v>
      </c>
    </row>
    <row r="7" spans="1:14" ht="30">
      <c r="A7" s="123" t="s">
        <v>780</v>
      </c>
      <c r="B7" s="123" t="s">
        <v>781</v>
      </c>
      <c r="C7" s="122">
        <v>8200</v>
      </c>
      <c r="D7" s="1061">
        <v>15</v>
      </c>
      <c r="E7" s="1062">
        <v>8</v>
      </c>
      <c r="F7" s="1062">
        <v>15</v>
      </c>
      <c r="G7" s="1062">
        <v>10</v>
      </c>
      <c r="H7" s="1062">
        <v>4</v>
      </c>
      <c r="I7" s="1062">
        <v>15</v>
      </c>
      <c r="J7" s="1062">
        <v>8</v>
      </c>
      <c r="K7" s="1062">
        <v>30</v>
      </c>
      <c r="L7" s="1062">
        <v>8</v>
      </c>
      <c r="M7" s="1063">
        <v>8</v>
      </c>
      <c r="N7" s="1081">
        <f t="shared" ref="N7:N38" si="0">D7+E7+F7+G7+H7+I7-J7+K7-L7+M7</f>
        <v>89</v>
      </c>
    </row>
    <row r="8" spans="1:14" ht="15">
      <c r="A8" s="123" t="s">
        <v>1107</v>
      </c>
      <c r="B8" s="123"/>
      <c r="C8" s="122">
        <v>8300</v>
      </c>
      <c r="D8" s="1064">
        <v>300</v>
      </c>
      <c r="E8" s="1065">
        <v>150</v>
      </c>
      <c r="F8" s="1065">
        <v>300</v>
      </c>
      <c r="G8" s="1065">
        <v>224</v>
      </c>
      <c r="H8" s="1065">
        <v>75</v>
      </c>
      <c r="I8" s="1065">
        <v>300</v>
      </c>
      <c r="J8" s="1065">
        <v>150</v>
      </c>
      <c r="K8" s="1065">
        <v>45</v>
      </c>
      <c r="L8" s="1065">
        <v>150</v>
      </c>
      <c r="M8" s="1060">
        <v>135</v>
      </c>
      <c r="N8" s="1081">
        <f t="shared" si="0"/>
        <v>1229</v>
      </c>
    </row>
    <row r="9" spans="1:14" ht="15">
      <c r="A9" s="123" t="s">
        <v>1108</v>
      </c>
      <c r="B9" s="736"/>
      <c r="C9" s="121">
        <v>8400</v>
      </c>
      <c r="D9" s="1093"/>
      <c r="E9" s="1094"/>
      <c r="F9" s="1094"/>
      <c r="G9" s="1094"/>
      <c r="H9" s="1094"/>
      <c r="I9" s="1094"/>
      <c r="J9" s="1094"/>
      <c r="K9" s="1094"/>
      <c r="L9" s="1094"/>
      <c r="M9" s="1095"/>
      <c r="N9" s="1096"/>
    </row>
    <row r="10" spans="1:14" ht="15">
      <c r="A10" s="123" t="s">
        <v>1109</v>
      </c>
      <c r="B10" s="123" t="s">
        <v>412</v>
      </c>
      <c r="C10" s="122">
        <v>8410</v>
      </c>
      <c r="D10" s="1066">
        <v>22</v>
      </c>
      <c r="E10" s="1067">
        <v>5</v>
      </c>
      <c r="F10" s="1067">
        <v>10</v>
      </c>
      <c r="G10" s="1055"/>
      <c r="H10" s="1055"/>
      <c r="I10" s="1055"/>
      <c r="J10" s="1055"/>
      <c r="K10" s="1055"/>
      <c r="L10" s="1067">
        <v>5</v>
      </c>
      <c r="M10" s="1068">
        <v>5</v>
      </c>
      <c r="N10" s="1081">
        <f t="shared" si="0"/>
        <v>37</v>
      </c>
    </row>
    <row r="11" spans="1:14" ht="15">
      <c r="A11" s="123" t="s">
        <v>1110</v>
      </c>
      <c r="B11" s="123" t="s">
        <v>412</v>
      </c>
      <c r="C11" s="122">
        <v>8420</v>
      </c>
      <c r="D11" s="1066">
        <v>35</v>
      </c>
      <c r="E11" s="1067">
        <v>25</v>
      </c>
      <c r="F11" s="1067">
        <v>10</v>
      </c>
      <c r="G11" s="1055"/>
      <c r="H11" s="1055"/>
      <c r="I11" s="1055"/>
      <c r="J11" s="1055"/>
      <c r="K11" s="1055"/>
      <c r="L11" s="1067">
        <v>5</v>
      </c>
      <c r="M11" s="1068">
        <v>5</v>
      </c>
      <c r="N11" s="1081">
        <f t="shared" si="0"/>
        <v>70</v>
      </c>
    </row>
    <row r="12" spans="1:14" ht="15">
      <c r="A12" s="123" t="s">
        <v>1111</v>
      </c>
      <c r="B12" s="123" t="s">
        <v>412</v>
      </c>
      <c r="C12" s="122">
        <v>8430</v>
      </c>
      <c r="D12" s="1066">
        <v>16</v>
      </c>
      <c r="E12" s="1067">
        <v>5</v>
      </c>
      <c r="F12" s="1067">
        <v>20</v>
      </c>
      <c r="G12" s="1067">
        <v>8</v>
      </c>
      <c r="H12" s="1067">
        <v>3</v>
      </c>
      <c r="I12" s="1067">
        <v>10</v>
      </c>
      <c r="J12" s="1055"/>
      <c r="K12" s="1055"/>
      <c r="L12" s="1067">
        <v>5</v>
      </c>
      <c r="M12" s="1068">
        <v>5</v>
      </c>
      <c r="N12" s="1081">
        <f t="shared" si="0"/>
        <v>62</v>
      </c>
    </row>
    <row r="13" spans="1:14" ht="15">
      <c r="A13" s="123" t="s">
        <v>1112</v>
      </c>
      <c r="B13" s="123" t="s">
        <v>411</v>
      </c>
      <c r="C13" s="122">
        <v>8440</v>
      </c>
      <c r="D13" s="1066">
        <v>10</v>
      </c>
      <c r="E13" s="1067">
        <v>5</v>
      </c>
      <c r="F13" s="1067">
        <v>15</v>
      </c>
      <c r="G13" s="1067">
        <v>8</v>
      </c>
      <c r="H13" s="1067">
        <v>3</v>
      </c>
      <c r="I13" s="1067">
        <v>10</v>
      </c>
      <c r="J13" s="1055"/>
      <c r="K13" s="1055"/>
      <c r="L13" s="1067">
        <v>5</v>
      </c>
      <c r="M13" s="1068">
        <v>5</v>
      </c>
      <c r="N13" s="1081">
        <f t="shared" si="0"/>
        <v>51</v>
      </c>
    </row>
    <row r="14" spans="1:14" ht="15">
      <c r="A14" s="123" t="s">
        <v>2478</v>
      </c>
      <c r="B14" s="123" t="s">
        <v>412</v>
      </c>
      <c r="C14" s="122">
        <v>8450</v>
      </c>
      <c r="D14" s="1066">
        <v>11</v>
      </c>
      <c r="E14" s="1067">
        <v>5</v>
      </c>
      <c r="F14" s="1067">
        <v>5</v>
      </c>
      <c r="G14" s="1067">
        <v>8</v>
      </c>
      <c r="H14" s="1067">
        <v>3</v>
      </c>
      <c r="I14" s="1067">
        <v>10</v>
      </c>
      <c r="J14" s="1055"/>
      <c r="K14" s="1055"/>
      <c r="L14" s="1067">
        <v>5</v>
      </c>
      <c r="M14" s="1068">
        <v>5</v>
      </c>
      <c r="N14" s="1081">
        <f t="shared" si="0"/>
        <v>42</v>
      </c>
    </row>
    <row r="15" spans="1:14" ht="30">
      <c r="A15" s="123" t="s">
        <v>1113</v>
      </c>
      <c r="B15" s="123" t="s">
        <v>413</v>
      </c>
      <c r="C15" s="122">
        <v>8460</v>
      </c>
      <c r="D15" s="1066">
        <v>10</v>
      </c>
      <c r="E15" s="1067">
        <v>5</v>
      </c>
      <c r="F15" s="1067">
        <v>5</v>
      </c>
      <c r="G15" s="1067">
        <v>3</v>
      </c>
      <c r="H15" s="1067">
        <v>3</v>
      </c>
      <c r="I15" s="1067">
        <v>10</v>
      </c>
      <c r="J15" s="1055"/>
      <c r="K15" s="1055"/>
      <c r="L15" s="1067">
        <v>5</v>
      </c>
      <c r="M15" s="1068">
        <v>5</v>
      </c>
      <c r="N15" s="1081">
        <f t="shared" si="0"/>
        <v>36</v>
      </c>
    </row>
    <row r="16" spans="1:14" ht="15">
      <c r="A16" s="123" t="s">
        <v>444</v>
      </c>
      <c r="B16" s="123" t="s">
        <v>414</v>
      </c>
      <c r="C16" s="122">
        <v>8470</v>
      </c>
      <c r="D16" s="1066">
        <v>10</v>
      </c>
      <c r="E16" s="1067">
        <v>10</v>
      </c>
      <c r="F16" s="1067">
        <v>15</v>
      </c>
      <c r="G16" s="1067">
        <v>13</v>
      </c>
      <c r="H16" s="1067">
        <v>3</v>
      </c>
      <c r="I16" s="1067">
        <v>10</v>
      </c>
      <c r="J16" s="1055"/>
      <c r="K16" s="1055"/>
      <c r="L16" s="1067">
        <v>5</v>
      </c>
      <c r="M16" s="1068">
        <v>5</v>
      </c>
      <c r="N16" s="1081">
        <f t="shared" si="0"/>
        <v>61</v>
      </c>
    </row>
    <row r="17" spans="1:14" ht="15">
      <c r="A17" s="123" t="s">
        <v>1114</v>
      </c>
      <c r="B17" s="123" t="s">
        <v>414</v>
      </c>
      <c r="C17" s="122">
        <v>8480</v>
      </c>
      <c r="D17" s="1066">
        <v>2</v>
      </c>
      <c r="E17" s="1067">
        <v>5</v>
      </c>
      <c r="F17" s="1067">
        <v>10</v>
      </c>
      <c r="G17" s="1055"/>
      <c r="H17" s="1055"/>
      <c r="I17" s="1067">
        <v>5</v>
      </c>
      <c r="J17" s="1055"/>
      <c r="K17" s="1055"/>
      <c r="L17" s="1067">
        <v>5</v>
      </c>
      <c r="M17" s="1068">
        <v>5</v>
      </c>
      <c r="N17" s="1081">
        <f t="shared" si="0"/>
        <v>22</v>
      </c>
    </row>
    <row r="18" spans="1:14" ht="15">
      <c r="A18" s="123" t="s">
        <v>1115</v>
      </c>
      <c r="B18" s="123"/>
      <c r="C18" s="122">
        <v>8500</v>
      </c>
      <c r="D18" s="1093"/>
      <c r="E18" s="1094"/>
      <c r="F18" s="1094"/>
      <c r="G18" s="1094"/>
      <c r="H18" s="1094"/>
      <c r="I18" s="1094"/>
      <c r="J18" s="1094"/>
      <c r="K18" s="1094"/>
      <c r="L18" s="1094"/>
      <c r="M18" s="1095"/>
      <c r="N18" s="1096"/>
    </row>
    <row r="19" spans="1:14" ht="30">
      <c r="A19" s="123" t="s">
        <v>1812</v>
      </c>
      <c r="B19" s="123" t="s">
        <v>415</v>
      </c>
      <c r="C19" s="122">
        <v>8510</v>
      </c>
      <c r="D19" s="1069"/>
      <c r="E19" s="1055"/>
      <c r="F19" s="1055"/>
      <c r="G19" s="1055"/>
      <c r="H19" s="1055"/>
      <c r="I19" s="1067">
        <v>16</v>
      </c>
      <c r="J19" s="1055"/>
      <c r="K19" s="1067">
        <v>729</v>
      </c>
      <c r="L19" s="1067">
        <v>5</v>
      </c>
      <c r="M19" s="1068">
        <v>20</v>
      </c>
      <c r="N19" s="1081">
        <f t="shared" si="0"/>
        <v>760</v>
      </c>
    </row>
    <row r="20" spans="1:14" ht="15">
      <c r="A20" s="123" t="s">
        <v>891</v>
      </c>
      <c r="B20" s="123" t="s">
        <v>414</v>
      </c>
      <c r="C20" s="122">
        <v>8520</v>
      </c>
      <c r="D20" s="1066">
        <v>24</v>
      </c>
      <c r="E20" s="1067">
        <v>12</v>
      </c>
      <c r="F20" s="1067">
        <v>1</v>
      </c>
      <c r="G20" s="1055"/>
      <c r="H20" s="1055"/>
      <c r="I20" s="1067">
        <v>5</v>
      </c>
      <c r="J20" s="1067">
        <v>5</v>
      </c>
      <c r="K20" s="1055"/>
      <c r="L20" s="1067">
        <v>5</v>
      </c>
      <c r="M20" s="1068">
        <v>5</v>
      </c>
      <c r="N20" s="1081">
        <f t="shared" si="0"/>
        <v>37</v>
      </c>
    </row>
    <row r="21" spans="1:14" ht="15">
      <c r="A21" s="123" t="s">
        <v>892</v>
      </c>
      <c r="B21" s="123" t="s">
        <v>414</v>
      </c>
      <c r="C21" s="122">
        <v>8530</v>
      </c>
      <c r="D21" s="1066">
        <v>2</v>
      </c>
      <c r="E21" s="1067">
        <v>1</v>
      </c>
      <c r="F21" s="1067">
        <v>9</v>
      </c>
      <c r="G21" s="1067">
        <v>8</v>
      </c>
      <c r="H21" s="1067">
        <v>3</v>
      </c>
      <c r="I21" s="1067">
        <v>5</v>
      </c>
      <c r="J21" s="1067">
        <v>5</v>
      </c>
      <c r="K21" s="1055"/>
      <c r="L21" s="1067">
        <v>5</v>
      </c>
      <c r="M21" s="1068">
        <v>5</v>
      </c>
      <c r="N21" s="1081">
        <f t="shared" si="0"/>
        <v>23</v>
      </c>
    </row>
    <row r="22" spans="1:14" ht="15">
      <c r="A22" s="123" t="s">
        <v>893</v>
      </c>
      <c r="B22" s="123" t="s">
        <v>416</v>
      </c>
      <c r="C22" s="122">
        <v>8540</v>
      </c>
      <c r="D22" s="1066">
        <v>10</v>
      </c>
      <c r="E22" s="1067">
        <v>5</v>
      </c>
      <c r="F22" s="1067">
        <v>10</v>
      </c>
      <c r="G22" s="1055"/>
      <c r="H22" s="1055"/>
      <c r="I22" s="1067">
        <v>5</v>
      </c>
      <c r="J22" s="1055"/>
      <c r="K22" s="1055"/>
      <c r="L22" s="1067">
        <v>5</v>
      </c>
      <c r="M22" s="1068">
        <v>5</v>
      </c>
      <c r="N22" s="1081">
        <f t="shared" si="0"/>
        <v>30</v>
      </c>
    </row>
    <row r="23" spans="1:14" ht="15">
      <c r="A23" s="123" t="s">
        <v>894</v>
      </c>
      <c r="B23" s="123" t="s">
        <v>414</v>
      </c>
      <c r="C23" s="122">
        <v>8550</v>
      </c>
      <c r="D23" s="1069"/>
      <c r="E23" s="1055"/>
      <c r="F23" s="1055"/>
      <c r="G23" s="1055"/>
      <c r="H23" s="1055"/>
      <c r="I23" s="1067">
        <v>5</v>
      </c>
      <c r="J23" s="1067">
        <v>5</v>
      </c>
      <c r="K23" s="1055"/>
      <c r="L23" s="1067">
        <v>5</v>
      </c>
      <c r="M23" s="1068">
        <v>5</v>
      </c>
      <c r="N23" s="1081">
        <f t="shared" si="0"/>
        <v>0</v>
      </c>
    </row>
    <row r="24" spans="1:14" ht="15">
      <c r="A24" s="123" t="s">
        <v>895</v>
      </c>
      <c r="B24" s="123" t="s">
        <v>414</v>
      </c>
      <c r="C24" s="122">
        <v>8560</v>
      </c>
      <c r="D24" s="1069"/>
      <c r="E24" s="1055"/>
      <c r="F24" s="1055"/>
      <c r="G24" s="1055"/>
      <c r="H24" s="1055"/>
      <c r="I24" s="1067">
        <v>5</v>
      </c>
      <c r="J24" s="1055"/>
      <c r="K24" s="1067">
        <v>22</v>
      </c>
      <c r="L24" s="1067">
        <v>5</v>
      </c>
      <c r="M24" s="1068">
        <v>5</v>
      </c>
      <c r="N24" s="1081">
        <f t="shared" si="0"/>
        <v>27</v>
      </c>
    </row>
    <row r="25" spans="1:14" ht="15">
      <c r="A25" s="123" t="s">
        <v>896</v>
      </c>
      <c r="B25" s="123" t="s">
        <v>417</v>
      </c>
      <c r="C25" s="122">
        <v>8570</v>
      </c>
      <c r="D25" s="1069"/>
      <c r="E25" s="1055"/>
      <c r="F25" s="1055"/>
      <c r="G25" s="1055"/>
      <c r="H25" s="1055"/>
      <c r="I25" s="1067">
        <v>18</v>
      </c>
      <c r="J25" s="1055"/>
      <c r="K25" s="1067">
        <v>1</v>
      </c>
      <c r="L25" s="1067">
        <v>4</v>
      </c>
      <c r="M25" s="1068">
        <v>4</v>
      </c>
      <c r="N25" s="1081">
        <f t="shared" si="0"/>
        <v>19</v>
      </c>
    </row>
    <row r="26" spans="1:14" ht="15">
      <c r="A26" s="123" t="s">
        <v>2488</v>
      </c>
      <c r="B26" s="123"/>
      <c r="C26" s="122">
        <v>8600</v>
      </c>
      <c r="D26" s="1093"/>
      <c r="E26" s="1094"/>
      <c r="F26" s="1094"/>
      <c r="G26" s="1094"/>
      <c r="H26" s="1094"/>
      <c r="I26" s="1094"/>
      <c r="J26" s="1094"/>
      <c r="K26" s="1094"/>
      <c r="L26" s="1094"/>
      <c r="M26" s="1095"/>
      <c r="N26" s="1096"/>
    </row>
    <row r="27" spans="1:14" ht="15">
      <c r="A27" s="123" t="s">
        <v>2489</v>
      </c>
      <c r="B27" s="123" t="s">
        <v>418</v>
      </c>
      <c r="C27" s="122">
        <v>8610</v>
      </c>
      <c r="D27" s="1069"/>
      <c r="E27" s="1055"/>
      <c r="F27" s="1055"/>
      <c r="G27" s="1055"/>
      <c r="H27" s="1055"/>
      <c r="I27" s="1067">
        <v>10</v>
      </c>
      <c r="J27" s="1067">
        <v>5</v>
      </c>
      <c r="K27" s="1055"/>
      <c r="L27" s="1067">
        <v>5</v>
      </c>
      <c r="M27" s="1056"/>
      <c r="N27" s="1081">
        <f t="shared" si="0"/>
        <v>0</v>
      </c>
    </row>
    <row r="28" spans="1:14" ht="15">
      <c r="A28" s="123" t="s">
        <v>2490</v>
      </c>
      <c r="B28" s="123" t="s">
        <v>414</v>
      </c>
      <c r="C28" s="122">
        <v>8620</v>
      </c>
      <c r="D28" s="1069"/>
      <c r="E28" s="1055"/>
      <c r="F28" s="1055"/>
      <c r="G28" s="1055"/>
      <c r="H28" s="1055"/>
      <c r="I28" s="1067">
        <v>10</v>
      </c>
      <c r="J28" s="1067">
        <v>20</v>
      </c>
      <c r="K28" s="1055"/>
      <c r="L28" s="1067">
        <v>5</v>
      </c>
      <c r="M28" s="1056"/>
      <c r="N28" s="1081">
        <f t="shared" si="0"/>
        <v>-15</v>
      </c>
    </row>
    <row r="29" spans="1:14" ht="15">
      <c r="A29" s="123" t="s">
        <v>2491</v>
      </c>
      <c r="B29" s="123" t="s">
        <v>414</v>
      </c>
      <c r="C29" s="122">
        <v>8630</v>
      </c>
      <c r="D29" s="1069"/>
      <c r="E29" s="1055"/>
      <c r="F29" s="1055"/>
      <c r="G29" s="1055"/>
      <c r="H29" s="1055"/>
      <c r="I29" s="1067">
        <v>-10</v>
      </c>
      <c r="J29" s="1067">
        <v>-5</v>
      </c>
      <c r="K29" s="1055"/>
      <c r="L29" s="1067">
        <v>-5</v>
      </c>
      <c r="M29" s="1056"/>
      <c r="N29" s="1081">
        <f t="shared" si="0"/>
        <v>0</v>
      </c>
    </row>
    <row r="30" spans="1:14" ht="15">
      <c r="A30" s="123" t="s">
        <v>2492</v>
      </c>
      <c r="B30" s="123" t="s">
        <v>414</v>
      </c>
      <c r="C30" s="122">
        <v>8640</v>
      </c>
      <c r="D30" s="1069"/>
      <c r="E30" s="1055"/>
      <c r="F30" s="1055"/>
      <c r="G30" s="1055"/>
      <c r="H30" s="1055"/>
      <c r="I30" s="1067">
        <v>10</v>
      </c>
      <c r="J30" s="1067">
        <v>25</v>
      </c>
      <c r="K30" s="1055"/>
      <c r="L30" s="1067">
        <v>5</v>
      </c>
      <c r="M30" s="1056"/>
      <c r="N30" s="1081">
        <f t="shared" si="0"/>
        <v>-20</v>
      </c>
    </row>
    <row r="31" spans="1:14" ht="15">
      <c r="A31" s="123" t="s">
        <v>2493</v>
      </c>
      <c r="B31" s="123"/>
      <c r="C31" s="122">
        <v>8700</v>
      </c>
      <c r="D31" s="1093"/>
      <c r="E31" s="1094"/>
      <c r="F31" s="1094"/>
      <c r="G31" s="1094"/>
      <c r="H31" s="1094"/>
      <c r="I31" s="1094"/>
      <c r="J31" s="1094"/>
      <c r="K31" s="1094"/>
      <c r="L31" s="1094"/>
      <c r="M31" s="1095"/>
      <c r="N31" s="1096"/>
    </row>
    <row r="32" spans="1:14" ht="30">
      <c r="A32" s="123" t="s">
        <v>2494</v>
      </c>
      <c r="B32" s="123" t="s">
        <v>414</v>
      </c>
      <c r="C32" s="122">
        <v>8710</v>
      </c>
      <c r="D32" s="1066">
        <v>5</v>
      </c>
      <c r="E32" s="1067">
        <v>5</v>
      </c>
      <c r="F32" s="1067">
        <v>10</v>
      </c>
      <c r="G32" s="1067">
        <v>8</v>
      </c>
      <c r="H32" s="1067">
        <v>3</v>
      </c>
      <c r="I32" s="1067">
        <v>10</v>
      </c>
      <c r="J32" s="1055"/>
      <c r="K32" s="1055"/>
      <c r="L32" s="1067">
        <v>5</v>
      </c>
      <c r="M32" s="1068">
        <v>5</v>
      </c>
      <c r="N32" s="1081">
        <f t="shared" si="0"/>
        <v>41</v>
      </c>
    </row>
    <row r="33" spans="1:37" ht="30">
      <c r="A33" s="123" t="s">
        <v>902</v>
      </c>
      <c r="B33" s="123" t="s">
        <v>414</v>
      </c>
      <c r="C33" s="122">
        <v>8720</v>
      </c>
      <c r="D33" s="1066">
        <v>30</v>
      </c>
      <c r="E33" s="1067">
        <v>15</v>
      </c>
      <c r="F33" s="1067">
        <v>30</v>
      </c>
      <c r="G33" s="1067">
        <v>8</v>
      </c>
      <c r="H33" s="1067">
        <v>3</v>
      </c>
      <c r="I33" s="1067">
        <v>25</v>
      </c>
      <c r="J33" s="1055"/>
      <c r="K33" s="1055"/>
      <c r="L33" s="1067">
        <v>5</v>
      </c>
      <c r="M33" s="1068">
        <v>5</v>
      </c>
      <c r="N33" s="1081">
        <f t="shared" si="0"/>
        <v>111</v>
      </c>
    </row>
    <row r="34" spans="1:37" ht="15">
      <c r="A34" s="123" t="s">
        <v>2495</v>
      </c>
      <c r="B34" s="123" t="s">
        <v>422</v>
      </c>
      <c r="C34" s="122">
        <v>8730</v>
      </c>
      <c r="D34" s="1069"/>
      <c r="E34" s="1055"/>
      <c r="F34" s="1055"/>
      <c r="G34" s="1055"/>
      <c r="H34" s="1055"/>
      <c r="I34" s="1067">
        <v>16</v>
      </c>
      <c r="J34" s="1055"/>
      <c r="K34" s="1067">
        <v>1</v>
      </c>
      <c r="L34" s="1067">
        <v>3</v>
      </c>
      <c r="M34" s="1068">
        <v>2</v>
      </c>
      <c r="N34" s="1081">
        <f t="shared" si="0"/>
        <v>16</v>
      </c>
    </row>
    <row r="35" spans="1:37" ht="15">
      <c r="A35" s="123" t="s">
        <v>2496</v>
      </c>
      <c r="B35" s="123" t="s">
        <v>419</v>
      </c>
      <c r="C35" s="122">
        <v>8740</v>
      </c>
      <c r="D35" s="1066">
        <v>13</v>
      </c>
      <c r="E35" s="1067">
        <v>14</v>
      </c>
      <c r="F35" s="1067">
        <v>27</v>
      </c>
      <c r="G35" s="1067">
        <v>16</v>
      </c>
      <c r="H35" s="1067">
        <v>9</v>
      </c>
      <c r="I35" s="1067">
        <v>18</v>
      </c>
      <c r="J35" s="1055"/>
      <c r="K35" s="1055"/>
      <c r="L35" s="1067">
        <v>4</v>
      </c>
      <c r="M35" s="1068">
        <v>4</v>
      </c>
      <c r="N35" s="1081">
        <f t="shared" si="0"/>
        <v>97</v>
      </c>
    </row>
    <row r="36" spans="1:37" ht="15">
      <c r="A36" s="123" t="s">
        <v>1591</v>
      </c>
      <c r="B36" s="123"/>
      <c r="C36" s="122">
        <v>8800</v>
      </c>
      <c r="D36" s="1093"/>
      <c r="E36" s="1094"/>
      <c r="F36" s="1094"/>
      <c r="G36" s="1094"/>
      <c r="H36" s="1094"/>
      <c r="I36" s="1094"/>
      <c r="J36" s="1094"/>
      <c r="K36" s="1094"/>
      <c r="L36" s="1094"/>
      <c r="M36" s="1095"/>
      <c r="N36" s="1096"/>
    </row>
    <row r="37" spans="1:37" ht="30">
      <c r="A37" s="123" t="s">
        <v>2497</v>
      </c>
      <c r="B37" s="123" t="s">
        <v>412</v>
      </c>
      <c r="C37" s="122">
        <v>8810</v>
      </c>
      <c r="D37" s="1066">
        <v>10</v>
      </c>
      <c r="E37" s="1067">
        <v>5</v>
      </c>
      <c r="F37" s="1067">
        <v>10</v>
      </c>
      <c r="G37" s="1067">
        <v>8</v>
      </c>
      <c r="H37" s="1067">
        <v>3</v>
      </c>
      <c r="I37" s="1067">
        <v>10</v>
      </c>
      <c r="J37" s="1067">
        <v>10</v>
      </c>
      <c r="K37" s="1067">
        <v>1</v>
      </c>
      <c r="L37" s="1067">
        <v>5</v>
      </c>
      <c r="M37" s="1068">
        <v>5</v>
      </c>
      <c r="N37" s="1081">
        <f t="shared" si="0"/>
        <v>37</v>
      </c>
    </row>
    <row r="38" spans="1:37" ht="15">
      <c r="A38" s="123" t="s">
        <v>2498</v>
      </c>
      <c r="B38" s="123" t="s">
        <v>2073</v>
      </c>
      <c r="C38" s="122">
        <v>8820</v>
      </c>
      <c r="D38" s="1066">
        <v>18</v>
      </c>
      <c r="E38" s="1067">
        <v>4</v>
      </c>
      <c r="F38" s="1067">
        <v>13</v>
      </c>
      <c r="G38" s="1067">
        <v>42</v>
      </c>
      <c r="H38" s="1067">
        <v>13</v>
      </c>
      <c r="I38" s="1067">
        <v>7</v>
      </c>
      <c r="J38" s="1067">
        <v>10</v>
      </c>
      <c r="K38" s="1067">
        <v>-15</v>
      </c>
      <c r="L38" s="1067">
        <v>34</v>
      </c>
      <c r="M38" s="1068">
        <v>45</v>
      </c>
      <c r="N38" s="1081">
        <f t="shared" si="0"/>
        <v>83</v>
      </c>
    </row>
    <row r="39" spans="1:37" ht="15.75" thickBot="1">
      <c r="A39" s="123" t="s">
        <v>2074</v>
      </c>
      <c r="B39" s="123"/>
      <c r="C39" s="122">
        <v>8900</v>
      </c>
      <c r="D39" s="1083">
        <f>+D8+D10+D11+D12+D13-D14-D15+D16-D17+D19-D20-D21-D22-D23-D24+D25-D27+D28-D29+D30-D32+D33+D34+D35+D37+D38</f>
        <v>400</v>
      </c>
      <c r="E39" s="1084">
        <f t="shared" ref="E39:M39" si="1">+E8+E10+E11+E12+E13-E14-E15+E16-E17+E19-E20-E21-E22-E23-E24+E25-E27+E28-E29+E30-E32+E33+E34+E35+E37+E38</f>
        <v>200</v>
      </c>
      <c r="F39" s="1085">
        <f t="shared" si="1"/>
        <v>400</v>
      </c>
      <c r="G39" s="1085">
        <f t="shared" si="1"/>
        <v>300</v>
      </c>
      <c r="H39" s="1085">
        <f t="shared" si="1"/>
        <v>100</v>
      </c>
      <c r="I39" s="1085">
        <f>+I8+I10+I11+I12+I13-I14-I15+I16-I17+I19-I20-I21-I22-I23-I24+I25-I27+I28-I29+I30-I32+I33+I34+I35+I37+I38</f>
        <v>400</v>
      </c>
      <c r="J39" s="1085">
        <f t="shared" si="1"/>
        <v>200</v>
      </c>
      <c r="K39" s="1085">
        <f t="shared" si="1"/>
        <v>740</v>
      </c>
      <c r="L39" s="1085">
        <f t="shared" si="1"/>
        <v>200</v>
      </c>
      <c r="M39" s="1085">
        <f t="shared" si="1"/>
        <v>200</v>
      </c>
      <c r="N39" s="1082">
        <f>SUM(D39:I39)-J39+K39-L39+M39</f>
        <v>2340</v>
      </c>
    </row>
    <row r="40" spans="1:37">
      <c r="N40" s="1070">
        <f>N8+N10+N11+N12+N13-N14-N15+N16-N17+N19-N20-N21-N22-N23-N24+N25-N27+N28+N29+N30-N32+N33+N34+N35+N37+N38</f>
        <v>2340</v>
      </c>
    </row>
    <row r="43" spans="1:37" s="807" customFormat="1" ht="15">
      <c r="A43" s="801"/>
      <c r="B43" s="802"/>
      <c r="C43" s="802">
        <v>760</v>
      </c>
      <c r="D43" s="803" t="b">
        <f>N6=SUM(D6:I6)-J6+K6-L6+M6</f>
        <v>1</v>
      </c>
      <c r="E43" s="804" t="s">
        <v>1251</v>
      </c>
      <c r="F43" s="805"/>
      <c r="G43" s="805"/>
      <c r="H43" s="805"/>
      <c r="I43" s="805"/>
      <c r="J43" s="805"/>
      <c r="K43" s="805"/>
      <c r="L43" s="805"/>
      <c r="M43" s="805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F43" s="806"/>
      <c r="AG43" s="806"/>
      <c r="AH43" s="806"/>
      <c r="AI43" s="806"/>
      <c r="AJ43" s="806"/>
      <c r="AK43" s="806"/>
    </row>
    <row r="44" spans="1:37" s="808" customFormat="1" ht="15">
      <c r="A44" s="801"/>
      <c r="B44" s="802"/>
      <c r="C44" s="802">
        <v>770</v>
      </c>
      <c r="D44" s="803" t="b">
        <f>N7=SUM(D7:I7)-J7+K7-L7+M7</f>
        <v>1</v>
      </c>
      <c r="E44" s="804" t="s">
        <v>86</v>
      </c>
      <c r="F44" s="805"/>
      <c r="G44" s="805"/>
      <c r="H44" s="805"/>
      <c r="I44" s="805"/>
      <c r="J44" s="805"/>
      <c r="K44" s="805"/>
      <c r="L44" s="805"/>
      <c r="M44" s="805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  <c r="AB44" s="806"/>
      <c r="AC44" s="806"/>
      <c r="AD44" s="806"/>
      <c r="AE44" s="806"/>
      <c r="AF44" s="806"/>
      <c r="AG44" s="806"/>
      <c r="AH44" s="806"/>
      <c r="AI44" s="806"/>
      <c r="AJ44" s="806"/>
      <c r="AK44" s="806"/>
    </row>
    <row r="45" spans="1:37" s="808" customFormat="1" ht="15">
      <c r="A45" s="801"/>
      <c r="B45" s="802"/>
      <c r="C45" s="802">
        <v>780</v>
      </c>
      <c r="D45" s="803" t="b">
        <f>N8=SUM(D8:I8)-J8+K8-L8+M8</f>
        <v>1</v>
      </c>
      <c r="E45" s="804" t="s">
        <v>87</v>
      </c>
      <c r="F45" s="805"/>
      <c r="G45" s="805"/>
      <c r="H45" s="805"/>
      <c r="I45" s="805"/>
      <c r="J45" s="805"/>
      <c r="K45" s="805"/>
      <c r="L45" s="805"/>
      <c r="M45" s="805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  <c r="AA45" s="806"/>
      <c r="AB45" s="806"/>
      <c r="AC45" s="806"/>
      <c r="AD45" s="806"/>
      <c r="AE45" s="806"/>
      <c r="AF45" s="806"/>
      <c r="AG45" s="806"/>
      <c r="AH45" s="806"/>
      <c r="AI45" s="806"/>
      <c r="AJ45" s="806"/>
      <c r="AK45" s="806"/>
    </row>
    <row r="46" spans="1:37" s="808" customFormat="1" ht="15">
      <c r="A46" s="801"/>
      <c r="B46" s="802"/>
      <c r="C46" s="802">
        <v>790</v>
      </c>
      <c r="D46" s="803" t="b">
        <f>N10=SUM(D10:I10)-J10+K10-L10+M10</f>
        <v>1</v>
      </c>
      <c r="E46" s="804" t="s">
        <v>88</v>
      </c>
      <c r="F46" s="805"/>
      <c r="G46" s="805"/>
      <c r="H46" s="805"/>
      <c r="I46" s="805"/>
      <c r="J46" s="805"/>
      <c r="K46" s="805"/>
      <c r="L46" s="805"/>
      <c r="M46" s="805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F46" s="806"/>
      <c r="AG46" s="806"/>
      <c r="AH46" s="806"/>
      <c r="AI46" s="806"/>
      <c r="AJ46" s="806"/>
      <c r="AK46" s="806"/>
    </row>
    <row r="47" spans="1:37" s="808" customFormat="1" ht="15">
      <c r="A47" s="801"/>
      <c r="B47" s="802"/>
      <c r="C47" s="802">
        <v>800</v>
      </c>
      <c r="D47" s="803" t="b">
        <f t="shared" ref="D47:D52" si="2">N11=SUM(D11:I11)-J11+K11-L11+M11</f>
        <v>1</v>
      </c>
      <c r="E47" s="804" t="s">
        <v>534</v>
      </c>
      <c r="F47" s="805"/>
      <c r="G47" s="805"/>
      <c r="H47" s="805"/>
      <c r="I47" s="805"/>
      <c r="J47" s="805"/>
      <c r="K47" s="805"/>
      <c r="L47" s="805"/>
      <c r="M47" s="805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/>
    </row>
    <row r="48" spans="1:37" s="808" customFormat="1" ht="15">
      <c r="A48" s="801"/>
      <c r="B48" s="802"/>
      <c r="C48" s="802">
        <v>810</v>
      </c>
      <c r="D48" s="803" t="b">
        <f t="shared" si="2"/>
        <v>1</v>
      </c>
      <c r="E48" s="804" t="s">
        <v>535</v>
      </c>
      <c r="F48" s="805"/>
      <c r="G48" s="805"/>
      <c r="H48" s="805"/>
      <c r="I48" s="805"/>
      <c r="J48" s="805"/>
      <c r="K48" s="805"/>
      <c r="L48" s="805"/>
      <c r="M48" s="805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  <c r="AA48" s="806"/>
      <c r="AB48" s="806"/>
      <c r="AC48" s="806"/>
      <c r="AD48" s="806"/>
      <c r="AE48" s="806"/>
      <c r="AF48" s="806"/>
      <c r="AG48" s="806"/>
      <c r="AH48" s="806"/>
      <c r="AI48" s="806"/>
      <c r="AJ48" s="806"/>
      <c r="AK48" s="806"/>
    </row>
    <row r="49" spans="1:37" s="808" customFormat="1" ht="15">
      <c r="A49" s="801"/>
      <c r="B49" s="802"/>
      <c r="C49" s="802">
        <v>820</v>
      </c>
      <c r="D49" s="803" t="b">
        <f t="shared" si="2"/>
        <v>1</v>
      </c>
      <c r="E49" s="804" t="s">
        <v>536</v>
      </c>
      <c r="F49" s="805"/>
      <c r="G49" s="805"/>
      <c r="H49" s="805"/>
      <c r="I49" s="805"/>
      <c r="J49" s="805"/>
      <c r="K49" s="805"/>
      <c r="L49" s="805"/>
      <c r="M49" s="805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806"/>
      <c r="Z49" s="806"/>
      <c r="AA49" s="806"/>
      <c r="AB49" s="806"/>
      <c r="AC49" s="806"/>
      <c r="AD49" s="806"/>
      <c r="AE49" s="806"/>
      <c r="AF49" s="806"/>
      <c r="AG49" s="806"/>
      <c r="AH49" s="806"/>
      <c r="AI49" s="806"/>
      <c r="AJ49" s="806"/>
      <c r="AK49" s="806"/>
    </row>
    <row r="50" spans="1:37" s="808" customFormat="1" ht="15">
      <c r="A50" s="801"/>
      <c r="B50" s="802"/>
      <c r="C50" s="802">
        <v>830</v>
      </c>
      <c r="D50" s="803" t="b">
        <f t="shared" si="2"/>
        <v>1</v>
      </c>
      <c r="E50" s="804" t="s">
        <v>537</v>
      </c>
      <c r="F50" s="805"/>
      <c r="G50" s="805"/>
      <c r="H50" s="805"/>
      <c r="I50" s="805"/>
      <c r="J50" s="805"/>
      <c r="K50" s="805"/>
      <c r="L50" s="805"/>
      <c r="M50" s="805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806"/>
      <c r="AK50" s="806"/>
    </row>
    <row r="51" spans="1:37" s="808" customFormat="1" ht="15">
      <c r="A51" s="801"/>
      <c r="B51" s="802"/>
      <c r="C51" s="802">
        <v>840</v>
      </c>
      <c r="D51" s="803" t="b">
        <f t="shared" si="2"/>
        <v>1</v>
      </c>
      <c r="E51" s="804" t="s">
        <v>538</v>
      </c>
      <c r="F51" s="805"/>
      <c r="G51" s="805"/>
      <c r="H51" s="805"/>
      <c r="I51" s="805"/>
      <c r="J51" s="805"/>
      <c r="K51" s="805"/>
      <c r="L51" s="805"/>
      <c r="M51" s="805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806"/>
      <c r="AK51" s="806"/>
    </row>
    <row r="52" spans="1:37" s="808" customFormat="1" ht="15">
      <c r="A52" s="801"/>
      <c r="B52" s="802"/>
      <c r="C52" s="802">
        <v>850</v>
      </c>
      <c r="D52" s="803" t="b">
        <f t="shared" si="2"/>
        <v>1</v>
      </c>
      <c r="E52" s="804" t="s">
        <v>539</v>
      </c>
      <c r="F52" s="805"/>
      <c r="G52" s="805"/>
      <c r="H52" s="805"/>
      <c r="I52" s="805"/>
      <c r="J52" s="805"/>
      <c r="K52" s="805"/>
      <c r="L52" s="805"/>
      <c r="M52" s="805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6"/>
      <c r="AJ52" s="806"/>
      <c r="AK52" s="806"/>
    </row>
    <row r="53" spans="1:37" s="808" customFormat="1" ht="15">
      <c r="A53" s="801"/>
      <c r="B53" s="802"/>
      <c r="C53" s="802">
        <v>860</v>
      </c>
      <c r="D53" s="803" t="b">
        <f>N17=SUM(D17:I17)-J17+K17-L17+M17</f>
        <v>1</v>
      </c>
      <c r="E53" s="804" t="s">
        <v>540</v>
      </c>
      <c r="F53" s="805"/>
      <c r="G53" s="805"/>
      <c r="H53" s="805"/>
      <c r="I53" s="805"/>
      <c r="J53" s="805"/>
      <c r="K53" s="805"/>
      <c r="L53" s="805"/>
      <c r="M53" s="805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806"/>
      <c r="AG53" s="806"/>
      <c r="AH53" s="806"/>
      <c r="AI53" s="806"/>
      <c r="AJ53" s="806"/>
      <c r="AK53" s="806"/>
    </row>
    <row r="54" spans="1:37" s="808" customFormat="1" ht="15">
      <c r="A54" s="801"/>
      <c r="B54" s="802"/>
      <c r="C54" s="802">
        <v>870</v>
      </c>
      <c r="D54" s="803" t="b">
        <f t="shared" ref="D54:D59" si="3">N19=SUM(D19:I19)-J19+K19-L19+M19</f>
        <v>1</v>
      </c>
      <c r="E54" s="804" t="s">
        <v>541</v>
      </c>
      <c r="F54" s="805"/>
      <c r="G54" s="805"/>
      <c r="H54" s="805"/>
      <c r="I54" s="805"/>
      <c r="J54" s="805"/>
      <c r="K54" s="805"/>
      <c r="L54" s="805"/>
      <c r="M54" s="805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06"/>
      <c r="AK54" s="806"/>
    </row>
    <row r="55" spans="1:37" s="808" customFormat="1" ht="15">
      <c r="A55" s="801"/>
      <c r="B55" s="802"/>
      <c r="C55" s="802">
        <v>880</v>
      </c>
      <c r="D55" s="803" t="b">
        <f t="shared" si="3"/>
        <v>1</v>
      </c>
      <c r="E55" s="804" t="s">
        <v>542</v>
      </c>
      <c r="F55" s="805"/>
      <c r="G55" s="805"/>
      <c r="H55" s="805"/>
      <c r="I55" s="805"/>
      <c r="J55" s="805"/>
      <c r="K55" s="805"/>
      <c r="L55" s="805"/>
      <c r="M55" s="805"/>
      <c r="N55" s="806"/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06"/>
      <c r="AK55" s="806"/>
    </row>
    <row r="56" spans="1:37" s="808" customFormat="1" ht="15">
      <c r="A56" s="801"/>
      <c r="B56" s="802"/>
      <c r="C56" s="802">
        <v>890</v>
      </c>
      <c r="D56" s="803" t="b">
        <f t="shared" si="3"/>
        <v>1</v>
      </c>
      <c r="E56" s="804" t="s">
        <v>543</v>
      </c>
      <c r="F56" s="805"/>
      <c r="G56" s="805"/>
      <c r="H56" s="805"/>
      <c r="I56" s="805"/>
      <c r="J56" s="805"/>
      <c r="K56" s="805"/>
      <c r="L56" s="805"/>
      <c r="M56" s="805"/>
      <c r="N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  <c r="AF56" s="806"/>
      <c r="AG56" s="806"/>
      <c r="AH56" s="806"/>
      <c r="AI56" s="806"/>
      <c r="AJ56" s="806"/>
      <c r="AK56" s="806"/>
    </row>
    <row r="57" spans="1:37" s="808" customFormat="1" ht="15">
      <c r="A57" s="801"/>
      <c r="B57" s="802"/>
      <c r="C57" s="802">
        <v>900</v>
      </c>
      <c r="D57" s="803" t="b">
        <f t="shared" si="3"/>
        <v>1</v>
      </c>
      <c r="E57" s="804" t="s">
        <v>544</v>
      </c>
      <c r="F57" s="805"/>
      <c r="G57" s="805"/>
      <c r="H57" s="805"/>
      <c r="I57" s="805"/>
      <c r="J57" s="805"/>
      <c r="K57" s="805"/>
      <c r="L57" s="805"/>
      <c r="M57" s="805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6"/>
    </row>
    <row r="58" spans="1:37" s="808" customFormat="1" ht="15">
      <c r="A58" s="801"/>
      <c r="B58" s="802"/>
      <c r="C58" s="802">
        <v>910</v>
      </c>
      <c r="D58" s="803" t="b">
        <f t="shared" si="3"/>
        <v>1</v>
      </c>
      <c r="E58" s="804" t="s">
        <v>1062</v>
      </c>
      <c r="F58" s="805"/>
      <c r="G58" s="805"/>
      <c r="H58" s="805"/>
      <c r="I58" s="805"/>
      <c r="J58" s="805"/>
      <c r="K58" s="805"/>
      <c r="L58" s="805"/>
      <c r="M58" s="805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</row>
    <row r="59" spans="1:37" s="808" customFormat="1" ht="15">
      <c r="A59" s="801"/>
      <c r="B59" s="802"/>
      <c r="C59" s="802">
        <v>920</v>
      </c>
      <c r="D59" s="803" t="b">
        <f t="shared" si="3"/>
        <v>1</v>
      </c>
      <c r="E59" s="804" t="s">
        <v>1063</v>
      </c>
      <c r="F59" s="805"/>
      <c r="G59" s="805"/>
      <c r="H59" s="805"/>
      <c r="I59" s="805"/>
      <c r="J59" s="805"/>
      <c r="K59" s="805"/>
      <c r="L59" s="805"/>
      <c r="M59" s="805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</row>
    <row r="60" spans="1:37" s="808" customFormat="1" ht="15">
      <c r="A60" s="801"/>
      <c r="B60" s="802"/>
      <c r="C60" s="802">
        <v>930</v>
      </c>
      <c r="D60" s="803" t="b">
        <f>N25=SUM(D25:I25)-J25+K25-L25+M25</f>
        <v>1</v>
      </c>
      <c r="E60" s="804" t="s">
        <v>1064</v>
      </c>
      <c r="F60" s="805"/>
      <c r="G60" s="805"/>
      <c r="H60" s="805"/>
      <c r="I60" s="805"/>
      <c r="J60" s="805"/>
      <c r="K60" s="805"/>
      <c r="L60" s="805"/>
      <c r="M60" s="805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06"/>
      <c r="AK60" s="806"/>
    </row>
    <row r="61" spans="1:37" s="808" customFormat="1" ht="15">
      <c r="A61" s="801"/>
      <c r="B61" s="802"/>
      <c r="C61" s="802">
        <v>940</v>
      </c>
      <c r="D61" s="803" t="b">
        <f>N27=SUM(D27:I27)-J27+K27-L27+M27</f>
        <v>1</v>
      </c>
      <c r="E61" s="804" t="s">
        <v>1065</v>
      </c>
      <c r="F61" s="805"/>
      <c r="G61" s="805"/>
      <c r="H61" s="805"/>
      <c r="I61" s="805"/>
      <c r="J61" s="805"/>
      <c r="K61" s="805"/>
      <c r="L61" s="805"/>
      <c r="M61" s="805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</row>
    <row r="62" spans="1:37" s="808" customFormat="1" ht="15">
      <c r="A62" s="801"/>
      <c r="B62" s="802"/>
      <c r="C62" s="802">
        <v>950</v>
      </c>
      <c r="D62" s="803" t="b">
        <f>N28=SUM(D28:I28)-J28+K28-L28+M28</f>
        <v>1</v>
      </c>
      <c r="E62" s="804" t="s">
        <v>1066</v>
      </c>
      <c r="F62" s="805"/>
      <c r="G62" s="805"/>
      <c r="H62" s="805"/>
      <c r="I62" s="805"/>
      <c r="J62" s="805"/>
      <c r="K62" s="805"/>
      <c r="L62" s="805"/>
      <c r="M62" s="805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</row>
    <row r="63" spans="1:37" s="808" customFormat="1" ht="15">
      <c r="A63" s="801"/>
      <c r="B63" s="802"/>
      <c r="C63" s="802">
        <v>960</v>
      </c>
      <c r="D63" s="803" t="b">
        <f>N29=SUM(D29:I29)-J29+K29-L29+M29</f>
        <v>1</v>
      </c>
      <c r="E63" s="804" t="s">
        <v>1067</v>
      </c>
      <c r="F63" s="805"/>
      <c r="G63" s="805"/>
      <c r="H63" s="805"/>
      <c r="I63" s="805"/>
      <c r="J63" s="805"/>
      <c r="K63" s="805"/>
      <c r="L63" s="805"/>
      <c r="M63" s="805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806"/>
    </row>
    <row r="64" spans="1:37" s="808" customFormat="1" ht="15">
      <c r="A64" s="801"/>
      <c r="B64" s="802"/>
      <c r="C64" s="802">
        <v>970</v>
      </c>
      <c r="D64" s="803" t="b">
        <f>N30=SUM(D30:I30)-J30+K30-L30+M30</f>
        <v>1</v>
      </c>
      <c r="E64" s="804" t="s">
        <v>1068</v>
      </c>
      <c r="F64" s="805"/>
      <c r="G64" s="805"/>
      <c r="H64" s="805"/>
      <c r="I64" s="805"/>
      <c r="J64" s="805"/>
      <c r="K64" s="805"/>
      <c r="L64" s="805"/>
      <c r="M64" s="805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  <c r="AE64" s="806"/>
      <c r="AF64" s="806"/>
      <c r="AG64" s="806"/>
      <c r="AH64" s="806"/>
      <c r="AI64" s="806"/>
      <c r="AJ64" s="806"/>
      <c r="AK64" s="806"/>
    </row>
    <row r="65" spans="1:37" s="808" customFormat="1" ht="15">
      <c r="A65" s="801"/>
      <c r="B65" s="802"/>
      <c r="C65" s="802">
        <v>980</v>
      </c>
      <c r="D65" s="803" t="b">
        <f>N32=SUM(D32:I32)-J32+K32-L32+M32</f>
        <v>1</v>
      </c>
      <c r="E65" s="804" t="s">
        <v>1069</v>
      </c>
      <c r="F65" s="805"/>
      <c r="G65" s="805"/>
      <c r="H65" s="805"/>
      <c r="I65" s="805"/>
      <c r="J65" s="805"/>
      <c r="K65" s="805"/>
      <c r="L65" s="805"/>
      <c r="M65" s="805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6"/>
      <c r="AE65" s="806"/>
      <c r="AF65" s="806"/>
      <c r="AG65" s="806"/>
      <c r="AH65" s="806"/>
      <c r="AI65" s="806"/>
      <c r="AJ65" s="806"/>
      <c r="AK65" s="806"/>
    </row>
    <row r="66" spans="1:37" s="808" customFormat="1" ht="15">
      <c r="A66" s="801"/>
      <c r="B66" s="802"/>
      <c r="C66" s="802">
        <v>990</v>
      </c>
      <c r="D66" s="803" t="b">
        <f>N33=SUM(D33:I33)-J33+K33-L33+M33</f>
        <v>1</v>
      </c>
      <c r="E66" s="804" t="s">
        <v>1070</v>
      </c>
      <c r="F66" s="805"/>
      <c r="G66" s="805"/>
      <c r="H66" s="805"/>
      <c r="I66" s="805"/>
      <c r="J66" s="805"/>
      <c r="K66" s="805"/>
      <c r="L66" s="805"/>
      <c r="M66" s="805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</row>
    <row r="67" spans="1:37" s="808" customFormat="1" ht="15">
      <c r="A67" s="801"/>
      <c r="B67" s="802"/>
      <c r="C67" s="802">
        <v>1000</v>
      </c>
      <c r="D67" s="803" t="b">
        <f>N34=SUM(D34:I34)-J34+K34-L34+M34</f>
        <v>1</v>
      </c>
      <c r="E67" s="804" t="s">
        <v>1071</v>
      </c>
      <c r="F67" s="805"/>
      <c r="G67" s="805"/>
      <c r="H67" s="805"/>
      <c r="I67" s="805"/>
      <c r="J67" s="805"/>
      <c r="K67" s="805"/>
      <c r="L67" s="805"/>
      <c r="M67" s="805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</row>
    <row r="68" spans="1:37" s="808" customFormat="1" ht="15">
      <c r="A68" s="801"/>
      <c r="B68" s="802"/>
      <c r="C68" s="802">
        <v>1010</v>
      </c>
      <c r="D68" s="803" t="b">
        <f>N35=SUM(D35:I35)-J35+K35-L35+M35</f>
        <v>1</v>
      </c>
      <c r="E68" s="804" t="s">
        <v>1072</v>
      </c>
      <c r="F68" s="805"/>
      <c r="G68" s="805"/>
      <c r="H68" s="805"/>
      <c r="I68" s="805"/>
      <c r="J68" s="805"/>
      <c r="K68" s="805"/>
      <c r="L68" s="805"/>
      <c r="M68" s="805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</row>
    <row r="69" spans="1:37" s="808" customFormat="1" ht="15">
      <c r="A69" s="801"/>
      <c r="B69" s="802"/>
      <c r="C69" s="802">
        <v>1020</v>
      </c>
      <c r="D69" s="803" t="b">
        <f>N37=SUM(D37:I37)-J37+K37-L37+M37</f>
        <v>1</v>
      </c>
      <c r="E69" s="804" t="s">
        <v>1073</v>
      </c>
      <c r="F69" s="805"/>
      <c r="G69" s="805"/>
      <c r="H69" s="805"/>
      <c r="I69" s="805"/>
      <c r="J69" s="805"/>
      <c r="K69" s="805"/>
      <c r="L69" s="805"/>
      <c r="M69" s="805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</row>
    <row r="70" spans="1:37" s="808" customFormat="1" ht="15">
      <c r="A70" s="801"/>
      <c r="B70" s="802"/>
      <c r="C70" s="802">
        <v>1030</v>
      </c>
      <c r="D70" s="803" t="b">
        <f>N38=SUM(D38:I38)-J38+K38-L38+M38</f>
        <v>1</v>
      </c>
      <c r="E70" s="804" t="s">
        <v>84</v>
      </c>
      <c r="F70" s="805"/>
      <c r="G70" s="805"/>
      <c r="H70" s="805"/>
      <c r="I70" s="805"/>
      <c r="J70" s="805"/>
      <c r="K70" s="805"/>
      <c r="L70" s="805"/>
      <c r="M70" s="805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</row>
    <row r="71" spans="1:37" s="808" customFormat="1" ht="15">
      <c r="A71" s="801"/>
      <c r="B71" s="802"/>
      <c r="C71" s="802">
        <v>1040</v>
      </c>
      <c r="D71" s="803" t="b">
        <f>N39=SUM(D39:I39)-J39+K39-L39+M39</f>
        <v>1</v>
      </c>
      <c r="E71" s="804" t="s">
        <v>85</v>
      </c>
      <c r="F71" s="805"/>
      <c r="G71" s="805"/>
      <c r="H71" s="805"/>
      <c r="I71" s="805"/>
      <c r="J71" s="805"/>
      <c r="K71" s="805"/>
      <c r="L71" s="805"/>
      <c r="M71" s="805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</row>
    <row r="72" spans="1:37" s="808" customFormat="1" ht="15">
      <c r="A72" s="801"/>
      <c r="B72" s="802"/>
      <c r="C72" s="802"/>
      <c r="D72" s="803"/>
      <c r="E72" s="804"/>
      <c r="F72" s="805"/>
      <c r="G72" s="805"/>
      <c r="H72" s="805"/>
      <c r="I72" s="805"/>
      <c r="J72" s="805"/>
      <c r="K72" s="805"/>
      <c r="L72" s="805"/>
      <c r="M72" s="805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  <c r="AA72" s="806"/>
      <c r="AB72" s="806"/>
      <c r="AC72" s="806"/>
      <c r="AD72" s="806"/>
      <c r="AE72" s="806"/>
      <c r="AF72" s="806"/>
      <c r="AG72" s="806"/>
      <c r="AH72" s="806"/>
      <c r="AI72" s="806"/>
      <c r="AJ72" s="806"/>
      <c r="AK72" s="806"/>
    </row>
    <row r="73" spans="1:37" s="808" customFormat="1" ht="15">
      <c r="A73" s="801"/>
      <c r="B73" s="802"/>
      <c r="C73" s="802">
        <v>1050</v>
      </c>
      <c r="D73" s="803" t="b">
        <f>D39=+D8+D10+D11+D12+D13-D14-D15+D16-D17+D19-D20-D21-D22-D23-D24+D25-D27+D28-D29+D30-D32+D33+D34+D35+D37+D38</f>
        <v>1</v>
      </c>
      <c r="E73" s="804"/>
      <c r="F73" s="805"/>
      <c r="G73" s="805"/>
      <c r="H73" s="805"/>
      <c r="I73" s="805"/>
      <c r="J73" s="805"/>
      <c r="K73" s="805"/>
      <c r="L73" s="805"/>
      <c r="M73" s="805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</row>
    <row r="74" spans="1:37" s="808" customFormat="1" ht="15">
      <c r="A74" s="801"/>
      <c r="B74" s="802"/>
      <c r="C74" s="802">
        <v>1060</v>
      </c>
      <c r="D74" s="803" t="b">
        <f>E39=+E8+E10+E11+E12+E13-E14-E15+E16-E17+E19-E20-E21-E22-E23-E24+E25-E27+E28-E29+E30-E32+E33+E34+E35+E37+E38</f>
        <v>1</v>
      </c>
      <c r="E74" s="804"/>
      <c r="F74" s="805"/>
      <c r="G74" s="805"/>
      <c r="H74" s="805"/>
      <c r="I74" s="805"/>
      <c r="J74" s="805"/>
      <c r="K74" s="805"/>
      <c r="L74" s="805"/>
      <c r="M74" s="805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  <c r="AA74" s="806"/>
      <c r="AB74" s="806"/>
      <c r="AC74" s="806"/>
      <c r="AD74" s="806"/>
      <c r="AE74" s="806"/>
      <c r="AF74" s="806"/>
      <c r="AG74" s="806"/>
      <c r="AH74" s="806"/>
      <c r="AI74" s="806"/>
      <c r="AJ74" s="806"/>
      <c r="AK74" s="806"/>
    </row>
    <row r="75" spans="1:37" s="808" customFormat="1" ht="15">
      <c r="A75" s="801"/>
      <c r="B75" s="802"/>
      <c r="C75" s="802">
        <v>1070</v>
      </c>
      <c r="D75" s="803" t="b">
        <f>F39=+F8+F10+F11+F12+F13-F14-F15+F16-F17+F19-F20-F21-F22-F23-F24+F25-F27+F28-F29+F30-F32+F33+F34+F35+F37+F38</f>
        <v>1</v>
      </c>
      <c r="E75" s="804"/>
      <c r="F75" s="805"/>
      <c r="G75" s="805"/>
      <c r="H75" s="805"/>
      <c r="I75" s="805"/>
      <c r="J75" s="805"/>
      <c r="K75" s="805"/>
      <c r="L75" s="805"/>
      <c r="M75" s="805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806"/>
      <c r="AK75" s="806"/>
    </row>
    <row r="76" spans="1:37" s="808" customFormat="1" ht="15">
      <c r="A76" s="801"/>
      <c r="B76" s="802"/>
      <c r="C76" s="802">
        <v>1080</v>
      </c>
      <c r="D76" s="803" t="b">
        <f>G39=+G8+G10+G11+G12+G13-G14-G15+G16-G17+G19-G20-G21-G22-G23-G24+G25-G27+G28-G29+G30-G32+G33+G34+G35+G37+G38</f>
        <v>1</v>
      </c>
      <c r="E76" s="804"/>
      <c r="F76" s="805"/>
      <c r="G76" s="805"/>
      <c r="H76" s="805"/>
      <c r="I76" s="805"/>
      <c r="J76" s="805"/>
      <c r="K76" s="805"/>
      <c r="L76" s="805"/>
      <c r="M76" s="805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6"/>
      <c r="AB76" s="806"/>
      <c r="AC76" s="806"/>
      <c r="AD76" s="806"/>
      <c r="AE76" s="806"/>
      <c r="AF76" s="806"/>
      <c r="AG76" s="806"/>
      <c r="AH76" s="806"/>
      <c r="AI76" s="806"/>
      <c r="AJ76" s="806"/>
      <c r="AK76" s="806"/>
    </row>
    <row r="77" spans="1:37" s="808" customFormat="1" ht="15">
      <c r="A77" s="801"/>
      <c r="B77" s="802"/>
      <c r="C77" s="802">
        <v>1090</v>
      </c>
      <c r="D77" s="803" t="b">
        <f>H39=+H8+H10+H11+H12+H13-H14-H15+H16-H17+H19-H20-H21-H22-H23-H24+H25-H27+H28-H29+H30-H32+H33+H34+H35+H37+H38</f>
        <v>1</v>
      </c>
      <c r="E77" s="804"/>
      <c r="F77" s="805"/>
      <c r="G77" s="805"/>
      <c r="H77" s="805"/>
      <c r="I77" s="805"/>
      <c r="J77" s="805"/>
      <c r="K77" s="805"/>
      <c r="L77" s="805"/>
      <c r="M77" s="805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</row>
    <row r="78" spans="1:37" s="808" customFormat="1" ht="15">
      <c r="A78" s="801"/>
      <c r="B78" s="802"/>
      <c r="C78" s="802">
        <v>1100</v>
      </c>
      <c r="D78" s="803" t="b">
        <f>I39=+I8+I10+I11+I12+I13-I14-I15+I16-I17+I19-I20-I21-I22-I23-I24+I25-I27+I28-I29+I30-I32+I33+I34+I35+I37+I38</f>
        <v>1</v>
      </c>
      <c r="E78" s="804"/>
      <c r="F78" s="805"/>
      <c r="G78" s="805"/>
      <c r="H78" s="805"/>
      <c r="I78" s="805"/>
      <c r="J78" s="805"/>
      <c r="K78" s="805"/>
      <c r="L78" s="805"/>
      <c r="M78" s="805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  <c r="AA78" s="806"/>
      <c r="AB78" s="806"/>
      <c r="AC78" s="806"/>
      <c r="AD78" s="806"/>
      <c r="AE78" s="806"/>
      <c r="AF78" s="806"/>
      <c r="AG78" s="806"/>
      <c r="AH78" s="806"/>
      <c r="AI78" s="806"/>
      <c r="AJ78" s="806"/>
      <c r="AK78" s="806"/>
    </row>
    <row r="79" spans="1:37" s="808" customFormat="1" ht="15">
      <c r="A79" s="801"/>
      <c r="B79" s="802"/>
      <c r="C79" s="802">
        <v>1110</v>
      </c>
      <c r="D79" s="803" t="b">
        <f>J39=+J8+J10+J11+J12+J13-J14-J15+J16-J17+J19-J20-J21-J22-J23-J24+J25-J27+J28-J29+J30-J32+J33+J34+J35+J37+J38</f>
        <v>1</v>
      </c>
      <c r="E79" s="804"/>
      <c r="F79" s="805"/>
      <c r="G79" s="805"/>
      <c r="H79" s="805"/>
      <c r="I79" s="805"/>
      <c r="J79" s="805"/>
      <c r="K79" s="805"/>
      <c r="L79" s="805"/>
      <c r="M79" s="805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  <c r="AA79" s="806"/>
      <c r="AB79" s="806"/>
      <c r="AC79" s="806"/>
      <c r="AD79" s="806"/>
      <c r="AE79" s="806"/>
      <c r="AF79" s="806"/>
      <c r="AG79" s="806"/>
      <c r="AH79" s="806"/>
      <c r="AI79" s="806"/>
      <c r="AJ79" s="806"/>
      <c r="AK79" s="806"/>
    </row>
    <row r="80" spans="1:37" s="808" customFormat="1" ht="15">
      <c r="A80" s="801"/>
      <c r="B80" s="802"/>
      <c r="C80" s="802">
        <v>1120</v>
      </c>
      <c r="D80" s="803" t="b">
        <f>K39=+K8+K10+K11+K12+K13-K14-K15+K16-K17+K19-K20-K21-K22-K23-K24+K25-K27+K28-K29+K30-K32+K33+K34+K35+K37+K38</f>
        <v>1</v>
      </c>
      <c r="E80" s="804"/>
      <c r="F80" s="805"/>
      <c r="G80" s="805"/>
      <c r="H80" s="805"/>
      <c r="I80" s="805"/>
      <c r="J80" s="805"/>
      <c r="K80" s="805"/>
      <c r="L80" s="805"/>
      <c r="M80" s="805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  <c r="AA80" s="806"/>
      <c r="AB80" s="806"/>
      <c r="AC80" s="806"/>
      <c r="AD80" s="806"/>
      <c r="AE80" s="806"/>
      <c r="AF80" s="806"/>
      <c r="AG80" s="806"/>
      <c r="AH80" s="806"/>
      <c r="AI80" s="806"/>
      <c r="AJ80" s="806"/>
      <c r="AK80" s="806"/>
    </row>
    <row r="81" spans="1:37" s="808" customFormat="1" ht="15">
      <c r="A81" s="801"/>
      <c r="B81" s="802"/>
      <c r="C81" s="802">
        <v>1130</v>
      </c>
      <c r="D81" s="803" t="b">
        <f>L39=+L8+L10+L11+L12+L13-L14-L15+L16-L17+L19-L20-L21-L22-L23-L24+L25-L27+L28-L29+L30-L32+L33+L34+L35+L37+L38</f>
        <v>1</v>
      </c>
      <c r="E81" s="804"/>
      <c r="F81" s="805"/>
      <c r="G81" s="805"/>
      <c r="H81" s="805"/>
      <c r="I81" s="805"/>
      <c r="J81" s="805"/>
      <c r="K81" s="805"/>
      <c r="L81" s="805"/>
      <c r="M81" s="805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6"/>
      <c r="AK81" s="806"/>
    </row>
    <row r="82" spans="1:37" s="808" customFormat="1" ht="15">
      <c r="A82" s="801"/>
      <c r="B82" s="802"/>
      <c r="C82" s="802">
        <v>1140</v>
      </c>
      <c r="D82" s="803" t="b">
        <f>M39=+M8+M10+M11+M12+M13-M14-M15+M16-M17+M19-M20-M21-M22-M23-M24+M25-M27+M28-M29+M30-M32+M33+M34+M35+M37+M38</f>
        <v>1</v>
      </c>
      <c r="E82" s="804"/>
      <c r="F82" s="805"/>
      <c r="G82" s="805"/>
      <c r="H82" s="805"/>
      <c r="I82" s="805"/>
      <c r="J82" s="805"/>
      <c r="K82" s="805"/>
      <c r="L82" s="805"/>
      <c r="M82" s="805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6"/>
      <c r="AB82" s="806"/>
      <c r="AC82" s="806"/>
      <c r="AD82" s="806"/>
      <c r="AE82" s="806"/>
      <c r="AF82" s="806"/>
      <c r="AG82" s="806"/>
      <c r="AH82" s="806"/>
      <c r="AI82" s="806"/>
      <c r="AJ82" s="806"/>
      <c r="AK82" s="806"/>
    </row>
    <row r="83" spans="1:37" ht="15">
      <c r="C83" s="802">
        <v>1150</v>
      </c>
      <c r="D83" s="803" t="b">
        <f>N39=+N8+N10+N11+N12+N13-N14-N15+N16-N17+N19-N20-N21-N22-N23-N24+N25-N27+N28-N29+N30-N32+N33+N34+N35+N37+N38</f>
        <v>1</v>
      </c>
      <c r="E83" s="804"/>
    </row>
  </sheetData>
  <phoneticPr fontId="8" type="noConversion"/>
  <pageMargins left="0.75" right="0.75" top="1" bottom="1" header="0.5" footer="0.5"/>
  <pageSetup paperSize="9" scale="4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15" workbookViewId="0"/>
  </sheetViews>
  <sheetFormatPr defaultRowHeight="12.75"/>
  <cols>
    <col min="1" max="1" width="36.5703125" customWidth="1"/>
    <col min="2" max="2" width="9.28515625" customWidth="1"/>
    <col min="3" max="3" width="10.42578125" bestFit="1" customWidth="1"/>
    <col min="11" max="11" width="18.42578125" customWidth="1"/>
    <col min="12" max="12" width="44" customWidth="1"/>
  </cols>
  <sheetData>
    <row r="1" spans="1:11" s="17" customFormat="1" ht="16.5" thickBot="1">
      <c r="A1" s="477" t="s">
        <v>1661</v>
      </c>
      <c r="B1" s="583"/>
      <c r="C1" s="583"/>
    </row>
    <row r="2" spans="1:11" ht="97.5" customHeight="1" thickBot="1">
      <c r="A2" s="265" t="s">
        <v>235</v>
      </c>
      <c r="B2" s="770"/>
      <c r="C2" s="768" t="s">
        <v>1660</v>
      </c>
    </row>
    <row r="3" spans="1:11" ht="15.75" thickBot="1">
      <c r="A3" s="771"/>
      <c r="B3" s="152" t="s">
        <v>1012</v>
      </c>
      <c r="C3" s="153" t="s">
        <v>1013</v>
      </c>
    </row>
    <row r="4" spans="1:11" ht="15">
      <c r="A4" s="772" t="s">
        <v>2081</v>
      </c>
      <c r="B4" s="154">
        <v>7100</v>
      </c>
      <c r="C4" s="1037">
        <f>+C5-C6</f>
        <v>0</v>
      </c>
    </row>
    <row r="5" spans="1:11" ht="15">
      <c r="A5" s="773" t="s">
        <v>2082</v>
      </c>
      <c r="B5" s="155">
        <v>7110</v>
      </c>
      <c r="C5" s="1038">
        <v>50</v>
      </c>
    </row>
    <row r="6" spans="1:11" ht="15">
      <c r="A6" s="773" t="s">
        <v>2083</v>
      </c>
      <c r="B6" s="155">
        <v>7120</v>
      </c>
      <c r="C6" s="1038">
        <v>50</v>
      </c>
    </row>
    <row r="7" spans="1:11" ht="15">
      <c r="A7" s="772" t="s">
        <v>2084</v>
      </c>
      <c r="B7" s="155">
        <v>7130</v>
      </c>
      <c r="C7" s="1037">
        <f>+C8-C9-C10</f>
        <v>-50</v>
      </c>
    </row>
    <row r="8" spans="1:11" ht="15">
      <c r="A8" s="773" t="s">
        <v>2082</v>
      </c>
      <c r="B8" s="155">
        <v>7140</v>
      </c>
      <c r="C8" s="1038">
        <v>50</v>
      </c>
    </row>
    <row r="9" spans="1:11" ht="15">
      <c r="A9" s="773" t="s">
        <v>2146</v>
      </c>
      <c r="B9" s="155">
        <v>7150</v>
      </c>
      <c r="C9" s="1038">
        <v>50</v>
      </c>
    </row>
    <row r="10" spans="1:11" ht="15">
      <c r="A10" s="773" t="s">
        <v>2147</v>
      </c>
      <c r="B10" s="155">
        <v>7160</v>
      </c>
      <c r="C10" s="1038">
        <v>50</v>
      </c>
    </row>
    <row r="11" spans="1:11" ht="28.5" customHeight="1">
      <c r="A11" s="772" t="s">
        <v>234</v>
      </c>
      <c r="B11" s="155">
        <v>7170</v>
      </c>
      <c r="C11" s="1037">
        <f>+C12-C13</f>
        <v>0</v>
      </c>
    </row>
    <row r="12" spans="1:11" ht="15">
      <c r="A12" s="773" t="s">
        <v>2148</v>
      </c>
      <c r="B12" s="155">
        <v>7180</v>
      </c>
      <c r="C12" s="1038">
        <v>50</v>
      </c>
    </row>
    <row r="13" spans="1:11" ht="15.75" thickBot="1">
      <c r="A13" s="774" t="s">
        <v>2149</v>
      </c>
      <c r="B13" s="157">
        <v>7190</v>
      </c>
      <c r="C13" s="1038">
        <v>50</v>
      </c>
    </row>
    <row r="16" spans="1:11" s="12" customFormat="1" ht="13.5">
      <c r="A16" s="41"/>
      <c r="B16" s="45"/>
      <c r="C16" s="37"/>
      <c r="D16" s="28"/>
      <c r="E16" s="29"/>
      <c r="F16" s="41"/>
      <c r="G16" s="41"/>
      <c r="H16" s="41"/>
      <c r="I16" s="41"/>
      <c r="J16" s="41"/>
      <c r="K16" s="41"/>
    </row>
    <row r="17" spans="1:11" s="1134" customFormat="1" ht="13.5">
      <c r="A17" s="1139"/>
      <c r="B17" s="37"/>
      <c r="C17" s="37"/>
      <c r="D17" s="28"/>
      <c r="E17" s="29"/>
      <c r="F17" s="1139"/>
      <c r="G17" s="1139"/>
      <c r="H17" s="1139"/>
      <c r="I17" s="1139"/>
      <c r="J17" s="1139"/>
      <c r="K17" s="1139"/>
    </row>
    <row r="18" spans="1:11" s="1134" customFormat="1" ht="13.5">
      <c r="A18" s="1139"/>
      <c r="B18" s="37"/>
      <c r="C18" s="37">
        <v>10</v>
      </c>
      <c r="D18" s="28" t="b">
        <f>C4=C5-C6</f>
        <v>1</v>
      </c>
      <c r="E18" s="29" t="s">
        <v>2046</v>
      </c>
      <c r="F18" s="1139"/>
      <c r="G18" s="1139"/>
      <c r="H18" s="1139"/>
      <c r="I18" s="1139"/>
      <c r="J18" s="1139"/>
      <c r="K18" s="1139"/>
    </row>
    <row r="19" spans="1:11" s="1134" customFormat="1" ht="13.5">
      <c r="A19" s="1139"/>
      <c r="B19" s="37"/>
      <c r="C19" s="37">
        <v>20</v>
      </c>
      <c r="D19" s="28" t="b">
        <f>C7=C8-C9-C10</f>
        <v>1</v>
      </c>
      <c r="E19" s="29" t="s">
        <v>2047</v>
      </c>
      <c r="F19" s="1139"/>
      <c r="G19" s="1139"/>
      <c r="H19" s="1139"/>
      <c r="I19" s="1139"/>
      <c r="J19" s="1139"/>
      <c r="K19" s="1139"/>
    </row>
    <row r="20" spans="1:11" s="1134" customFormat="1" ht="13.5">
      <c r="A20" s="1139"/>
      <c r="B20" s="37"/>
      <c r="C20" s="37">
        <v>30</v>
      </c>
      <c r="D20" s="28" t="b">
        <f>C11=C12-C13</f>
        <v>1</v>
      </c>
      <c r="E20" s="29" t="s">
        <v>2048</v>
      </c>
      <c r="F20" s="1139"/>
      <c r="G20" s="1139"/>
      <c r="H20" s="1139"/>
      <c r="I20" s="1139"/>
      <c r="J20" s="1139"/>
      <c r="K20" s="1139"/>
    </row>
    <row r="21" spans="1:11" s="1134" customFormat="1" ht="13.5">
      <c r="A21" s="1139"/>
      <c r="B21" s="37"/>
      <c r="C21" s="27"/>
      <c r="D21" s="28"/>
      <c r="E21" s="29"/>
      <c r="F21" s="1139"/>
      <c r="G21" s="1139"/>
      <c r="H21" s="1139"/>
      <c r="I21" s="1139"/>
      <c r="J21" s="1139"/>
      <c r="K21" s="1139"/>
    </row>
    <row r="22" spans="1:11" s="12" customFormat="1" ht="13.5">
      <c r="A22" s="41"/>
      <c r="B22" s="45"/>
      <c r="C22" s="27"/>
      <c r="D22" s="28"/>
      <c r="E22" s="29"/>
      <c r="F22" s="41"/>
      <c r="G22" s="41"/>
      <c r="H22" s="41"/>
      <c r="I22" s="41"/>
      <c r="J22" s="41"/>
      <c r="K22" s="41"/>
    </row>
    <row r="23" spans="1:11" s="12" customFormat="1" ht="13.5">
      <c r="A23" s="41"/>
      <c r="B23" s="45"/>
      <c r="C23" s="27"/>
      <c r="D23" s="28"/>
      <c r="E23" s="29"/>
      <c r="F23" s="41"/>
      <c r="G23" s="41"/>
      <c r="H23" s="41"/>
      <c r="I23" s="41"/>
      <c r="J23" s="41"/>
      <c r="K23" s="41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11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11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95" orientation="portrait" r:id="rId4"/>
  <headerFooter alignWithMargins="0">
    <oddHeader>&amp;C45.0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/>
  </sheetViews>
  <sheetFormatPr defaultRowHeight="12.75"/>
  <cols>
    <col min="1" max="1" width="21.5703125" customWidth="1"/>
    <col min="3" max="3" width="9.7109375" customWidth="1"/>
    <col min="4" max="4" width="10.28515625" customWidth="1"/>
    <col min="5" max="5" width="10.42578125" customWidth="1"/>
    <col min="6" max="6" width="10.28515625" customWidth="1"/>
    <col min="13" max="13" width="17" customWidth="1"/>
  </cols>
  <sheetData>
    <row r="1" spans="1:7" s="5" customFormat="1" ht="15.75">
      <c r="A1" s="477" t="s">
        <v>1240</v>
      </c>
      <c r="B1" s="52"/>
      <c r="C1" s="279"/>
      <c r="D1" s="279"/>
      <c r="E1" s="279"/>
      <c r="F1" s="279"/>
      <c r="G1" s="279"/>
    </row>
    <row r="2" spans="1:7" ht="15.75">
      <c r="A2" s="477" t="s">
        <v>1662</v>
      </c>
      <c r="B2" s="52"/>
      <c r="C2" s="52"/>
      <c r="D2" s="52"/>
      <c r="E2" s="52"/>
      <c r="F2" s="279"/>
      <c r="G2" s="279"/>
    </row>
    <row r="3" spans="1:7" ht="15.75" thickBot="1">
      <c r="A3" s="775"/>
      <c r="B3" s="775"/>
      <c r="C3" s="279"/>
      <c r="D3" s="279"/>
      <c r="E3" s="279"/>
      <c r="F3" s="279"/>
      <c r="G3" s="279"/>
    </row>
    <row r="4" spans="1:7" ht="95.25" customHeight="1" thickBot="1">
      <c r="A4" s="243" t="s">
        <v>1663</v>
      </c>
      <c r="B4" s="662"/>
      <c r="C4" s="780" t="s">
        <v>1664</v>
      </c>
      <c r="D4" s="780" t="s">
        <v>1665</v>
      </c>
      <c r="E4" s="780" t="s">
        <v>661</v>
      </c>
      <c r="F4" s="781" t="s">
        <v>701</v>
      </c>
      <c r="G4" s="279"/>
    </row>
    <row r="5" spans="1:7" ht="15.75" thickBot="1">
      <c r="A5" s="776"/>
      <c r="B5" s="320" t="s">
        <v>1012</v>
      </c>
      <c r="C5" s="541" t="s">
        <v>1013</v>
      </c>
      <c r="D5" s="541" t="s">
        <v>1014</v>
      </c>
      <c r="E5" s="541" t="s">
        <v>1015</v>
      </c>
      <c r="F5" s="541" t="s">
        <v>1016</v>
      </c>
      <c r="G5" s="279"/>
    </row>
    <row r="6" spans="1:7" ht="15.75" thickBot="1">
      <c r="A6" s="957" t="s">
        <v>974</v>
      </c>
      <c r="B6" s="332">
        <v>100</v>
      </c>
      <c r="C6" s="957" t="s">
        <v>487</v>
      </c>
      <c r="D6" s="957" t="s">
        <v>970</v>
      </c>
      <c r="E6" s="957">
        <v>20000000</v>
      </c>
      <c r="F6" s="957">
        <v>0.56000000000000005</v>
      </c>
      <c r="G6" s="279"/>
    </row>
    <row r="7" spans="1:7" ht="15.75" thickBot="1">
      <c r="A7" s="957" t="s">
        <v>975</v>
      </c>
      <c r="B7" s="778"/>
      <c r="C7" s="957" t="s">
        <v>971</v>
      </c>
      <c r="D7" s="957" t="s">
        <v>972</v>
      </c>
      <c r="E7" s="957">
        <v>25000000</v>
      </c>
      <c r="F7" s="957">
        <v>0.9</v>
      </c>
      <c r="G7" s="279"/>
    </row>
    <row r="8" spans="1:7" ht="15.75" thickBot="1">
      <c r="A8" s="957" t="s">
        <v>976</v>
      </c>
      <c r="B8" s="778"/>
      <c r="C8" s="957" t="s">
        <v>973</v>
      </c>
      <c r="D8" s="957" t="s">
        <v>970</v>
      </c>
      <c r="E8" s="957">
        <v>15000000</v>
      </c>
      <c r="F8" s="957">
        <v>1</v>
      </c>
      <c r="G8" s="279"/>
    </row>
    <row r="9" spans="1:7" ht="15.75" thickBot="1">
      <c r="A9" s="957" t="s">
        <v>977</v>
      </c>
      <c r="B9" s="779"/>
      <c r="C9" s="957" t="s">
        <v>487</v>
      </c>
      <c r="D9" s="957" t="s">
        <v>970</v>
      </c>
      <c r="E9" s="957">
        <v>53000000</v>
      </c>
      <c r="F9" s="957">
        <v>0.54</v>
      </c>
      <c r="G9" s="279"/>
    </row>
    <row r="10" spans="1:7" ht="15">
      <c r="A10" s="775"/>
      <c r="B10" s="775"/>
      <c r="C10" s="279"/>
      <c r="D10" s="279"/>
      <c r="E10" s="279"/>
      <c r="F10" s="279"/>
      <c r="G10" s="279"/>
    </row>
    <row r="11" spans="1:7" ht="15">
      <c r="A11" s="775"/>
      <c r="B11" s="775"/>
      <c r="C11" s="279"/>
      <c r="D11" s="279"/>
      <c r="E11" s="279"/>
      <c r="F11" s="279"/>
      <c r="G11" s="279"/>
    </row>
    <row r="13" spans="1:7" s="1139" customFormat="1" ht="13.5">
      <c r="B13" s="1154"/>
      <c r="C13" s="37">
        <v>10</v>
      </c>
      <c r="D13" s="1134" t="b">
        <f>IF(A6&lt;&gt;"",IF(AND(C6&lt;&gt;"",D6&lt;&gt;"",E6&lt;&gt;"",F6&lt;&gt;""),TRUE,FALSE),IF(AND(A6="",C6="",D6="",E6="",F6=""),TRUE,FALSE))</f>
        <v>1</v>
      </c>
      <c r="E13" s="29" t="s">
        <v>2049</v>
      </c>
    </row>
    <row r="14" spans="1:7" s="1139" customFormat="1" ht="13.5">
      <c r="B14" s="1154"/>
      <c r="C14" s="37">
        <v>20</v>
      </c>
      <c r="D14" s="1134" t="b">
        <f>IF(A7&lt;&gt;"",IF(AND(C7&lt;&gt;"",D7&lt;&gt;"",E7&lt;&gt;"",F7&lt;&gt;""),TRUE,FALSE),IF(AND(A7="",C7="",D7="",E7="",F7=""),TRUE,FALSE))</f>
        <v>1</v>
      </c>
      <c r="E14" s="29" t="s">
        <v>2050</v>
      </c>
    </row>
    <row r="15" spans="1:7" s="1139" customFormat="1" ht="13.5">
      <c r="B15" s="1154"/>
      <c r="C15" s="37">
        <v>30</v>
      </c>
      <c r="D15" s="1134" t="b">
        <f>IF(A8&lt;&gt;"",IF(AND(C8&lt;&gt;"",D8&lt;&gt;"",E8&lt;&gt;"",F8&lt;&gt;""),TRUE,FALSE),IF(AND(A8="",C8="",D8="",E8="",F8=""),TRUE,FALSE))</f>
        <v>1</v>
      </c>
      <c r="E15" s="29" t="s">
        <v>2740</v>
      </c>
    </row>
    <row r="16" spans="1:7" s="1139" customFormat="1" ht="13.5">
      <c r="B16" s="1154"/>
      <c r="C16" s="37">
        <v>40</v>
      </c>
      <c r="D16" s="1134" t="b">
        <f>IF(A9&lt;&gt;"",IF(AND(C9&lt;&gt;"",D9&lt;&gt;"",E9&lt;&gt;"",F9&lt;&gt;""),TRUE,FALSE),IF(AND(A9="",C9="",D9="",E9="",F9=""),TRUE,FALSE))</f>
        <v>1</v>
      </c>
      <c r="E16" s="29" t="s">
        <v>2741</v>
      </c>
    </row>
    <row r="17" spans="2:5" s="1139" customFormat="1" ht="13.5">
      <c r="B17" s="37"/>
      <c r="C17" s="27"/>
      <c r="D17" s="28"/>
      <c r="E17" s="29"/>
    </row>
    <row r="18" spans="2:5" s="1139" customFormat="1" ht="13.5">
      <c r="B18" s="37"/>
      <c r="C18" s="27"/>
      <c r="D18" s="28"/>
      <c r="E18" s="29"/>
    </row>
    <row r="19" spans="2:5" s="1139" customFormat="1" ht="13.5">
      <c r="B19" s="37"/>
      <c r="C19" s="27"/>
      <c r="D19" s="28"/>
      <c r="E19" s="29"/>
    </row>
    <row r="20" spans="2:5" s="2" customFormat="1"/>
    <row r="22" spans="2:5" ht="13.5">
      <c r="D22" s="28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howGridLines="0" showRuler="0"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howGridLines="0" showRuler="0"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8" scale="115" orientation="landscape" r:id="rId4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/>
  </sheetViews>
  <sheetFormatPr defaultRowHeight="12.75"/>
  <cols>
    <col min="1" max="1" width="21.140625" customWidth="1"/>
    <col min="3" max="3" width="9.28515625" customWidth="1"/>
    <col min="4" max="5" width="9.5703125" customWidth="1"/>
    <col min="6" max="6" width="10.5703125" customWidth="1"/>
    <col min="13" max="13" width="14.42578125" customWidth="1"/>
  </cols>
  <sheetData>
    <row r="1" spans="1:6" s="17" customFormat="1" ht="15.75">
      <c r="A1" s="477" t="s">
        <v>1240</v>
      </c>
      <c r="B1" s="52"/>
      <c r="C1" s="583"/>
      <c r="D1" s="583"/>
      <c r="E1" s="583"/>
      <c r="F1" s="583"/>
    </row>
    <row r="2" spans="1:6" ht="15.75">
      <c r="A2" s="477" t="s">
        <v>1237</v>
      </c>
      <c r="B2" s="52"/>
      <c r="C2" s="52"/>
      <c r="D2" s="52"/>
      <c r="E2" s="279"/>
      <c r="F2" s="279"/>
    </row>
    <row r="3" spans="1:6" ht="15.75" thickBot="1">
      <c r="A3" s="775"/>
      <c r="B3" s="775"/>
      <c r="C3" s="279"/>
      <c r="D3" s="279"/>
      <c r="E3" s="279"/>
      <c r="F3" s="279"/>
    </row>
    <row r="4" spans="1:6" ht="105" customHeight="1" thickBot="1">
      <c r="A4" s="243" t="s">
        <v>1663</v>
      </c>
      <c r="B4" s="662"/>
      <c r="C4" s="781" t="s">
        <v>1664</v>
      </c>
      <c r="D4" s="781" t="s">
        <v>1665</v>
      </c>
      <c r="E4" s="781" t="s">
        <v>661</v>
      </c>
      <c r="F4" s="781" t="s">
        <v>701</v>
      </c>
    </row>
    <row r="5" spans="1:6" ht="15.75" thickBot="1">
      <c r="A5" s="777"/>
      <c r="B5" s="452" t="s">
        <v>1012</v>
      </c>
      <c r="C5" s="387" t="s">
        <v>1013</v>
      </c>
      <c r="D5" s="387" t="s">
        <v>1014</v>
      </c>
      <c r="E5" s="387" t="s">
        <v>1015</v>
      </c>
      <c r="F5" s="387" t="s">
        <v>1016</v>
      </c>
    </row>
    <row r="6" spans="1:6" ht="15.75" thickBot="1">
      <c r="A6" s="957" t="s">
        <v>976</v>
      </c>
      <c r="B6" s="332">
        <v>200</v>
      </c>
      <c r="C6" s="957" t="s">
        <v>973</v>
      </c>
      <c r="D6" s="957" t="s">
        <v>970</v>
      </c>
      <c r="E6" s="957">
        <v>15000000</v>
      </c>
      <c r="F6" s="957">
        <v>1</v>
      </c>
    </row>
    <row r="7" spans="1:6" ht="15" thickBot="1">
      <c r="A7" s="957" t="s">
        <v>975</v>
      </c>
      <c r="B7" s="778"/>
      <c r="C7" s="957" t="s">
        <v>971</v>
      </c>
      <c r="D7" s="957" t="s">
        <v>972</v>
      </c>
      <c r="E7" s="957">
        <v>25000000</v>
      </c>
      <c r="F7" s="957">
        <v>0.9</v>
      </c>
    </row>
    <row r="8" spans="1:6" ht="15" thickBot="1">
      <c r="A8" s="777"/>
      <c r="B8" s="779"/>
      <c r="C8" s="307"/>
      <c r="D8" s="307"/>
      <c r="E8" s="307"/>
      <c r="F8" s="307"/>
    </row>
    <row r="9" spans="1:6" ht="15">
      <c r="A9" s="279"/>
      <c r="B9" s="279"/>
      <c r="C9" s="279"/>
      <c r="D9" s="279"/>
      <c r="E9" s="279"/>
      <c r="F9" s="279"/>
    </row>
    <row r="10" spans="1:6" s="1134" customFormat="1" ht="13.5"/>
    <row r="11" spans="1:6" s="1139" customFormat="1" ht="13.5">
      <c r="B11" s="1154"/>
      <c r="C11" s="37">
        <v>50</v>
      </c>
      <c r="D11" s="1134" t="b">
        <f>IF(A6&lt;&gt;"",IF(AND(C6&lt;&gt;"",D6&lt;&gt;"",E6&lt;&gt;"",F6&lt;&gt;""),TRUE,FALSE),IF(AND(A6="",C6="",D6="",E6="",F6=""),TRUE,FALSE))</f>
        <v>1</v>
      </c>
      <c r="E11" s="29" t="s">
        <v>2742</v>
      </c>
    </row>
    <row r="12" spans="1:6" s="1139" customFormat="1" ht="13.5">
      <c r="B12" s="1154"/>
      <c r="C12" s="37">
        <v>60</v>
      </c>
      <c r="D12" s="1134" t="b">
        <f>IF(A7&lt;&gt;"",IF(AND(C7&lt;&gt;"",D7&lt;&gt;"",E7&lt;&gt;"",F7&lt;&gt;""),TRUE,FALSE),IF(AND(A7="",C7="",D7="",E7="",F7=""),TRUE,FALSE))</f>
        <v>1</v>
      </c>
      <c r="E12" s="29" t="s">
        <v>2743</v>
      </c>
    </row>
    <row r="13" spans="1:6" s="1139" customFormat="1" ht="13.5">
      <c r="B13" s="1154"/>
      <c r="C13" s="37">
        <v>70</v>
      </c>
      <c r="D13" s="1134" t="b">
        <f>IF(A8&lt;&gt;"",IF(AND(C8&lt;&gt;"",D8&lt;&gt;"",E8&lt;&gt;"",F8&lt;&gt;""),TRUE,FALSE),IF(AND(A8="",C8="",D8="",E8="",F8=""),TRUE,FALSE))</f>
        <v>1</v>
      </c>
      <c r="E13" s="29" t="s">
        <v>2744</v>
      </c>
    </row>
    <row r="14" spans="1:6" s="1134" customFormat="1" ht="13.5"/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200" orientation="landscape" r:id="rId4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/>
  </sheetViews>
  <sheetFormatPr defaultRowHeight="12.75"/>
  <cols>
    <col min="1" max="1" width="19.5703125" customWidth="1"/>
    <col min="3" max="3" width="11.85546875" customWidth="1"/>
    <col min="5" max="5" width="10" customWidth="1"/>
    <col min="6" max="6" width="9.85546875" customWidth="1"/>
    <col min="7" max="7" width="9.42578125" customWidth="1"/>
    <col min="15" max="15" width="13" customWidth="1"/>
  </cols>
  <sheetData>
    <row r="1" spans="1:7" s="17" customFormat="1" ht="15.75">
      <c r="A1" s="477" t="s">
        <v>1240</v>
      </c>
      <c r="B1" s="52"/>
      <c r="C1" s="583"/>
      <c r="D1" s="583"/>
      <c r="E1" s="583"/>
      <c r="F1" s="583"/>
      <c r="G1" s="583"/>
    </row>
    <row r="2" spans="1:7" ht="15.75">
      <c r="A2" s="477" t="s">
        <v>1238</v>
      </c>
      <c r="B2" s="52"/>
      <c r="C2" s="52"/>
      <c r="D2" s="52"/>
      <c r="E2" s="279"/>
      <c r="F2" s="279"/>
      <c r="G2" s="279"/>
    </row>
    <row r="3" spans="1:7" ht="15.75" thickBot="1">
      <c r="A3" s="775"/>
      <c r="B3" s="775"/>
      <c r="C3" s="279"/>
      <c r="D3" s="279"/>
      <c r="E3" s="279"/>
      <c r="F3" s="279"/>
      <c r="G3" s="279"/>
    </row>
    <row r="4" spans="1:7" ht="92.25" customHeight="1" thickBot="1">
      <c r="A4" s="243" t="s">
        <v>1663</v>
      </c>
      <c r="B4" s="662"/>
      <c r="C4" s="781" t="s">
        <v>1664</v>
      </c>
      <c r="D4" s="781" t="s">
        <v>1665</v>
      </c>
      <c r="E4" s="781" t="s">
        <v>661</v>
      </c>
      <c r="F4" s="781" t="s">
        <v>701</v>
      </c>
      <c r="G4" s="781" t="s">
        <v>1239</v>
      </c>
    </row>
    <row r="5" spans="1:7" ht="15.75" thickBot="1">
      <c r="A5" s="777"/>
      <c r="B5" s="452" t="s">
        <v>1012</v>
      </c>
      <c r="C5" s="387" t="s">
        <v>1013</v>
      </c>
      <c r="D5" s="387" t="s">
        <v>1014</v>
      </c>
      <c r="E5" s="387" t="s">
        <v>1015</v>
      </c>
      <c r="F5" s="387" t="s">
        <v>1016</v>
      </c>
      <c r="G5" s="387" t="s">
        <v>525</v>
      </c>
    </row>
    <row r="6" spans="1:7" ht="15.75" thickBot="1">
      <c r="A6" s="957" t="s">
        <v>978</v>
      </c>
      <c r="B6" s="332">
        <v>300</v>
      </c>
      <c r="C6" s="957" t="s">
        <v>971</v>
      </c>
      <c r="D6" s="957" t="s">
        <v>972</v>
      </c>
      <c r="E6" s="957">
        <v>25000000</v>
      </c>
      <c r="F6" s="957">
        <v>0.9</v>
      </c>
      <c r="G6" s="957" t="s">
        <v>980</v>
      </c>
    </row>
    <row r="7" spans="1:7" ht="15" thickBot="1">
      <c r="A7" s="957" t="s">
        <v>979</v>
      </c>
      <c r="B7" s="778"/>
      <c r="C7" s="957" t="s">
        <v>981</v>
      </c>
      <c r="D7" s="957" t="s">
        <v>970</v>
      </c>
      <c r="E7" s="957">
        <v>15000000</v>
      </c>
      <c r="F7" s="957">
        <v>0.53</v>
      </c>
      <c r="G7" s="957" t="s">
        <v>980</v>
      </c>
    </row>
    <row r="8" spans="1:7" ht="15" thickBot="1">
      <c r="A8" s="777"/>
      <c r="B8" s="779"/>
      <c r="C8" s="307"/>
      <c r="D8" s="307"/>
      <c r="E8" s="307"/>
      <c r="F8" s="307"/>
      <c r="G8" s="307"/>
    </row>
    <row r="11" spans="1:7" s="1139" customFormat="1" ht="13.5">
      <c r="A11" s="1151"/>
      <c r="B11" s="1154"/>
      <c r="C11" s="37">
        <v>80</v>
      </c>
      <c r="D11" s="1134" t="b">
        <f>IF(A6&lt;&gt;"",IF(AND(C6&lt;&gt;"",D6&lt;&gt;"",E6&lt;&gt;"",F6&lt;&gt;"",G6&lt;&gt;""),TRUE,FALSE),IF(AND(A6="",C6="",D6="",E6="",F6="",G6=""),TRUE,FALSE))</f>
        <v>1</v>
      </c>
      <c r="E11" s="29" t="s">
        <v>2745</v>
      </c>
    </row>
    <row r="12" spans="1:7" s="1139" customFormat="1" ht="13.5">
      <c r="A12" s="1151"/>
      <c r="B12" s="1154"/>
      <c r="C12" s="37">
        <v>90</v>
      </c>
      <c r="D12" s="1134" t="b">
        <f>IF(A7&lt;&gt;"",IF(AND(C7&lt;&gt;"",D7&lt;&gt;"",E7&lt;&gt;"",F7&lt;&gt;"",G7&lt;&gt;""),TRUE,FALSE),IF(AND(A7="",C7="",D7="",E7="",F7="",G7=""),TRUE,FALSE))</f>
        <v>1</v>
      </c>
      <c r="E12" s="29" t="s">
        <v>2746</v>
      </c>
    </row>
    <row r="13" spans="1:7" s="1139" customFormat="1" ht="13.5">
      <c r="A13" s="1151"/>
      <c r="B13" s="1154"/>
      <c r="C13" s="37">
        <v>100</v>
      </c>
      <c r="D13" s="1134" t="b">
        <f>IF(A8&lt;&gt;"",IF(AND(C8&lt;&gt;"",D8&lt;&gt;"",E8&lt;&gt;"",F8&lt;&gt;"",G8&lt;&gt;""),TRUE,FALSE),IF(AND(A8="",C8="",D8="",E8="",F8="",G8=""),TRUE,FALSE))</f>
        <v>1</v>
      </c>
      <c r="E13" s="29" t="s">
        <v>2747</v>
      </c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H8" sqref="H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H8" sqref="H8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8" type="noConversion"/>
  <pageMargins left="0.75" right="0.75" top="1" bottom="1" header="0.5" footer="0.5"/>
  <pageSetup paperSize="8" scale="195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showGridLines="0" zoomScaleNormal="100" zoomScaleSheetLayoutView="100" workbookViewId="0"/>
  </sheetViews>
  <sheetFormatPr defaultRowHeight="12.75"/>
  <cols>
    <col min="1" max="1" width="19.42578125" customWidth="1"/>
    <col min="3" max="3" width="10.28515625" customWidth="1"/>
    <col min="4" max="5" width="13.85546875" customWidth="1"/>
    <col min="6" max="6" width="12.85546875" customWidth="1"/>
    <col min="7" max="7" width="14" customWidth="1"/>
    <col min="8" max="8" width="13.5703125" customWidth="1"/>
  </cols>
  <sheetData>
    <row r="1" spans="1:12" s="322" customFormat="1" ht="16.5" thickBot="1">
      <c r="A1" s="308" t="s">
        <v>527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200.25" customHeight="1" thickBot="1">
      <c r="A2" s="1195"/>
      <c r="B2" s="312"/>
      <c r="C2" s="271" t="s">
        <v>1907</v>
      </c>
      <c r="D2" s="271" t="s">
        <v>1908</v>
      </c>
      <c r="E2" s="271" t="s">
        <v>1909</v>
      </c>
      <c r="F2" s="271" t="s">
        <v>1831</v>
      </c>
      <c r="G2" s="271" t="s">
        <v>1018</v>
      </c>
      <c r="H2" s="271" t="s">
        <v>1019</v>
      </c>
      <c r="I2" s="279"/>
      <c r="J2" s="279"/>
      <c r="K2" s="279"/>
      <c r="L2" s="279"/>
    </row>
    <row r="3" spans="1:12" ht="15.75" thickBot="1">
      <c r="A3" s="1196"/>
      <c r="B3" s="314"/>
      <c r="C3" s="324" t="s">
        <v>1020</v>
      </c>
      <c r="D3" s="324" t="s">
        <v>1021</v>
      </c>
      <c r="E3" s="325" t="s">
        <v>520</v>
      </c>
      <c r="F3" s="326" t="s">
        <v>521</v>
      </c>
      <c r="G3" s="326" t="s">
        <v>520</v>
      </c>
      <c r="H3" s="326" t="s">
        <v>521</v>
      </c>
      <c r="I3" s="279"/>
      <c r="J3" s="279"/>
      <c r="K3" s="279"/>
      <c r="L3" s="279"/>
    </row>
    <row r="4" spans="1:12" ht="15.75" thickBot="1">
      <c r="A4" s="315"/>
      <c r="B4" s="316" t="s">
        <v>1012</v>
      </c>
      <c r="C4" s="317" t="s">
        <v>1013</v>
      </c>
      <c r="D4" s="318" t="s">
        <v>1014</v>
      </c>
      <c r="E4" s="319" t="s">
        <v>1015</v>
      </c>
      <c r="F4" s="319" t="s">
        <v>1016</v>
      </c>
      <c r="G4" s="319" t="s">
        <v>525</v>
      </c>
      <c r="H4" s="319" t="s">
        <v>526</v>
      </c>
      <c r="I4" s="279"/>
      <c r="J4" s="279"/>
      <c r="K4" s="279"/>
      <c r="L4" s="279"/>
    </row>
    <row r="5" spans="1:12" ht="15.75" thickBot="1">
      <c r="A5" s="298" t="s">
        <v>522</v>
      </c>
      <c r="B5" s="320">
        <v>7100</v>
      </c>
      <c r="C5" s="838">
        <v>275</v>
      </c>
      <c r="D5" s="838">
        <v>85</v>
      </c>
      <c r="E5" s="838">
        <v>30</v>
      </c>
      <c r="F5" s="838">
        <v>25</v>
      </c>
      <c r="G5" s="838">
        <v>10</v>
      </c>
      <c r="H5" s="838">
        <v>15</v>
      </c>
      <c r="I5" s="279"/>
      <c r="J5" s="279"/>
      <c r="K5" s="279"/>
      <c r="L5" s="279"/>
    </row>
  </sheetData>
  <customSheetViews>
    <customSheetView guid="{5D819D0C-25F7-408A-B978-F4F86F7655CA}" showPageBreaks="1" showRuler="0">
      <selection activeCell="I9" sqref="I9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8" sqref="A8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8" sqref="A8"/>
      <pageMargins left="0.75" right="0.75" top="1" bottom="1" header="0.5" footer="0.5"/>
      <pageSetup paperSize="8" scale="85" orientation="portrait" r:id="rId3"/>
      <headerFooter alignWithMargins="0"/>
    </customSheetView>
  </customSheetViews>
  <mergeCells count="1">
    <mergeCell ref="A2:A3"/>
  </mergeCells>
  <phoneticPr fontId="0" type="noConversion"/>
  <pageMargins left="0.75" right="0.75" top="1" bottom="1" header="0.5" footer="0.5"/>
  <pageSetup paperSize="8" scale="134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0"/>
  <sheetViews>
    <sheetView showGridLines="0" topLeftCell="A25" zoomScaleNormal="100" zoomScaleSheetLayoutView="100" workbookViewId="0">
      <selection activeCell="I38" sqref="I38"/>
    </sheetView>
  </sheetViews>
  <sheetFormatPr defaultRowHeight="12.75"/>
  <cols>
    <col min="1" max="1" width="42" customWidth="1"/>
    <col min="2" max="2" width="13.5703125" customWidth="1"/>
    <col min="3" max="3" width="7.5703125" bestFit="1" customWidth="1"/>
    <col min="4" max="4" width="8.85546875" customWidth="1"/>
    <col min="5" max="5" width="8.28515625" customWidth="1"/>
    <col min="12" max="12" width="17.85546875" customWidth="1"/>
  </cols>
  <sheetData>
    <row r="1" spans="1:5" ht="16.5" thickBot="1">
      <c r="A1" s="308" t="s">
        <v>529</v>
      </c>
      <c r="B1" s="279"/>
      <c r="C1" s="279"/>
      <c r="D1" s="279"/>
      <c r="E1" s="279"/>
    </row>
    <row r="2" spans="1:5" ht="126.75" customHeight="1" thickBot="1">
      <c r="A2" s="338" t="s">
        <v>1853</v>
      </c>
      <c r="B2" s="271" t="s">
        <v>137</v>
      </c>
      <c r="C2" s="323"/>
      <c r="D2" s="271" t="s">
        <v>138</v>
      </c>
      <c r="E2" s="271" t="s">
        <v>528</v>
      </c>
    </row>
    <row r="3" spans="1:5" ht="15.75" thickBot="1">
      <c r="A3" s="328"/>
      <c r="B3" s="329"/>
      <c r="C3" s="330" t="s">
        <v>1134</v>
      </c>
      <c r="D3" s="247" t="s">
        <v>1013</v>
      </c>
      <c r="E3" s="247" t="s">
        <v>1014</v>
      </c>
    </row>
    <row r="4" spans="1:5" ht="15">
      <c r="A4" s="331" t="s">
        <v>141</v>
      </c>
      <c r="B4" s="240" t="s">
        <v>1821</v>
      </c>
      <c r="C4" s="332">
        <v>7100</v>
      </c>
      <c r="D4" s="827">
        <f>SUM(D5:D6)</f>
        <v>160</v>
      </c>
      <c r="E4" s="839"/>
    </row>
    <row r="5" spans="1:5" ht="15">
      <c r="A5" s="333" t="s">
        <v>1822</v>
      </c>
      <c r="B5" s="240" t="s">
        <v>1823</v>
      </c>
      <c r="C5" s="250">
        <v>7110</v>
      </c>
      <c r="D5" s="827">
        <f>SUM('6.b'!C5:E5)</f>
        <v>80</v>
      </c>
      <c r="E5" s="839"/>
    </row>
    <row r="6" spans="1:5" ht="15.75" thickBot="1">
      <c r="A6" s="334" t="s">
        <v>1824</v>
      </c>
      <c r="B6" s="335" t="s">
        <v>1825</v>
      </c>
      <c r="C6" s="250">
        <v>7120</v>
      </c>
      <c r="D6" s="827">
        <f>SUM('6.b'!C6:E6)</f>
        <v>80</v>
      </c>
      <c r="E6" s="840"/>
    </row>
    <row r="7" spans="1:5" ht="15">
      <c r="A7" s="251" t="s">
        <v>1654</v>
      </c>
      <c r="B7" s="252" t="s">
        <v>140</v>
      </c>
      <c r="C7" s="250">
        <v>7130</v>
      </c>
      <c r="D7" s="827">
        <f>SUM(D8:D12)</f>
        <v>420</v>
      </c>
      <c r="E7" s="827">
        <f>SUM(E8:E12)</f>
        <v>375</v>
      </c>
    </row>
    <row r="8" spans="1:5" ht="15">
      <c r="A8" s="257" t="s">
        <v>1828</v>
      </c>
      <c r="B8" s="258" t="s">
        <v>1829</v>
      </c>
      <c r="C8" s="250">
        <v>7140</v>
      </c>
      <c r="D8" s="827">
        <f>SUM('6.b'!C8:E8)</f>
        <v>84</v>
      </c>
      <c r="E8" s="841">
        <v>75</v>
      </c>
    </row>
    <row r="9" spans="1:5" ht="15">
      <c r="A9" s="257" t="s">
        <v>1830</v>
      </c>
      <c r="B9" s="258" t="s">
        <v>1829</v>
      </c>
      <c r="C9" s="250">
        <v>7150</v>
      </c>
      <c r="D9" s="827">
        <f>SUM('6.b'!C9:E9)</f>
        <v>84</v>
      </c>
      <c r="E9" s="841">
        <v>75</v>
      </c>
    </row>
    <row r="10" spans="1:5" ht="15">
      <c r="A10" s="257" t="s">
        <v>1849</v>
      </c>
      <c r="B10" s="258" t="s">
        <v>1829</v>
      </c>
      <c r="C10" s="250">
        <v>7160</v>
      </c>
      <c r="D10" s="827">
        <f>SUM('6.b'!C10:E10)</f>
        <v>84</v>
      </c>
      <c r="E10" s="841">
        <v>75</v>
      </c>
    </row>
    <row r="11" spans="1:5" ht="15">
      <c r="A11" s="257" t="s">
        <v>1850</v>
      </c>
      <c r="B11" s="258" t="s">
        <v>1829</v>
      </c>
      <c r="C11" s="250">
        <v>7170</v>
      </c>
      <c r="D11" s="827">
        <f>SUM('6.b'!C11:E11)</f>
        <v>84</v>
      </c>
      <c r="E11" s="841">
        <v>75</v>
      </c>
    </row>
    <row r="12" spans="1:5" ht="15">
      <c r="A12" s="257" t="s">
        <v>1851</v>
      </c>
      <c r="B12" s="258" t="s">
        <v>1829</v>
      </c>
      <c r="C12" s="250">
        <v>7180</v>
      </c>
      <c r="D12" s="827">
        <f>SUM('6.b'!C12:E12)</f>
        <v>84</v>
      </c>
      <c r="E12" s="841">
        <v>75</v>
      </c>
    </row>
    <row r="13" spans="1:5" ht="15">
      <c r="A13" s="251" t="s">
        <v>1653</v>
      </c>
      <c r="B13" s="252" t="s">
        <v>140</v>
      </c>
      <c r="C13" s="250">
        <v>7190</v>
      </c>
      <c r="D13" s="827">
        <f>SUM(D14:D18)</f>
        <v>420</v>
      </c>
      <c r="E13" s="827">
        <f>SUM(E14:E18)</f>
        <v>375</v>
      </c>
    </row>
    <row r="14" spans="1:5" ht="15">
      <c r="A14" s="257" t="s">
        <v>1828</v>
      </c>
      <c r="B14" s="258" t="s">
        <v>1829</v>
      </c>
      <c r="C14" s="250">
        <v>7200</v>
      </c>
      <c r="D14" s="827">
        <f>SUM('6.b'!C14:E14)</f>
        <v>84</v>
      </c>
      <c r="E14" s="841">
        <v>75</v>
      </c>
    </row>
    <row r="15" spans="1:5" ht="15">
      <c r="A15" s="257" t="s">
        <v>1830</v>
      </c>
      <c r="B15" s="258" t="s">
        <v>1829</v>
      </c>
      <c r="C15" s="250">
        <v>7210</v>
      </c>
      <c r="D15" s="827">
        <f>SUM('6.b'!C15:E15)</f>
        <v>84</v>
      </c>
      <c r="E15" s="841">
        <v>75</v>
      </c>
    </row>
    <row r="16" spans="1:5" ht="15">
      <c r="A16" s="257" t="s">
        <v>1849</v>
      </c>
      <c r="B16" s="258" t="s">
        <v>1829</v>
      </c>
      <c r="C16" s="250">
        <v>7220</v>
      </c>
      <c r="D16" s="827">
        <f>SUM('6.b'!C16:E16)</f>
        <v>84</v>
      </c>
      <c r="E16" s="841">
        <v>75</v>
      </c>
    </row>
    <row r="17" spans="1:12" ht="15">
      <c r="A17" s="257" t="s">
        <v>1850</v>
      </c>
      <c r="B17" s="258" t="s">
        <v>1829</v>
      </c>
      <c r="C17" s="250">
        <v>7230</v>
      </c>
      <c r="D17" s="827">
        <f>SUM('6.b'!C17:E17)</f>
        <v>84</v>
      </c>
      <c r="E17" s="841">
        <v>75</v>
      </c>
    </row>
    <row r="18" spans="1:12" ht="15.75" thickBot="1">
      <c r="A18" s="257" t="s">
        <v>1851</v>
      </c>
      <c r="B18" s="258" t="s">
        <v>1829</v>
      </c>
      <c r="C18" s="336">
        <v>7240</v>
      </c>
      <c r="D18" s="827">
        <f>SUM('6.b'!C18:E18)</f>
        <v>84</v>
      </c>
      <c r="E18" s="842">
        <v>75</v>
      </c>
    </row>
    <row r="19" spans="1:12" ht="15.75" thickBot="1">
      <c r="A19" s="251" t="s">
        <v>1656</v>
      </c>
      <c r="B19" s="258"/>
      <c r="C19" s="336">
        <v>7800</v>
      </c>
      <c r="D19" s="843">
        <v>0</v>
      </c>
      <c r="E19" s="836"/>
    </row>
    <row r="20" spans="1:12" ht="15.75" thickBot="1">
      <c r="A20" s="285" t="s">
        <v>1059</v>
      </c>
      <c r="B20" s="339"/>
      <c r="C20" s="336">
        <v>7999</v>
      </c>
      <c r="D20" s="844">
        <f>SUM(D4,D7,D13,D19)</f>
        <v>1000</v>
      </c>
      <c r="E20" s="845">
        <f>SUM(E7,E13)</f>
        <v>750</v>
      </c>
      <c r="F20" s="829">
        <f>D20-'1.1'!E5</f>
        <v>0</v>
      </c>
    </row>
    <row r="21" spans="1:12">
      <c r="A21" s="9"/>
    </row>
    <row r="22" spans="1:12">
      <c r="A22" s="18"/>
      <c r="B22" s="2"/>
    </row>
    <row r="23" spans="1:12" s="1134" customFormat="1" ht="14.25" customHeight="1">
      <c r="A23" s="1139"/>
      <c r="B23" s="1172"/>
      <c r="C23" s="27">
        <v>10</v>
      </c>
      <c r="D23" s="28" t="b">
        <f>D4=D5+D6</f>
        <v>1</v>
      </c>
      <c r="E23" s="38" t="s">
        <v>2833</v>
      </c>
      <c r="F23" s="1165"/>
      <c r="G23" s="1165"/>
      <c r="H23" s="1165"/>
      <c r="I23" s="1165"/>
    </row>
    <row r="24" spans="1:12" s="1134" customFormat="1" ht="14.25" customHeight="1">
      <c r="A24" s="1139"/>
      <c r="B24" s="1172"/>
      <c r="C24" s="27">
        <v>20</v>
      </c>
      <c r="D24" s="28" t="b">
        <f>D7=SUM(D8:D12)</f>
        <v>1</v>
      </c>
      <c r="E24" s="38" t="s">
        <v>2834</v>
      </c>
      <c r="F24" s="1165"/>
      <c r="G24" s="1165"/>
      <c r="H24" s="1165"/>
      <c r="I24" s="1165"/>
    </row>
    <row r="25" spans="1:12" s="1134" customFormat="1" ht="14.25" customHeight="1">
      <c r="A25" s="1139"/>
      <c r="B25" s="1172"/>
      <c r="C25" s="27">
        <v>30</v>
      </c>
      <c r="D25" s="28" t="b">
        <f>E7=SUM(E8:E12)</f>
        <v>1</v>
      </c>
      <c r="E25" s="38" t="s">
        <v>2835</v>
      </c>
      <c r="F25" s="1165"/>
      <c r="G25" s="1165"/>
      <c r="H25" s="1165"/>
      <c r="I25" s="1165"/>
    </row>
    <row r="26" spans="1:12" s="1134" customFormat="1" ht="14.25" customHeight="1">
      <c r="A26" s="1139"/>
      <c r="B26" s="1172"/>
      <c r="C26" s="27">
        <v>40</v>
      </c>
      <c r="D26" s="28" t="b">
        <f>D13=SUM(D14:D18)</f>
        <v>1</v>
      </c>
      <c r="E26" s="38" t="s">
        <v>2836</v>
      </c>
      <c r="F26" s="1165"/>
      <c r="G26" s="1165"/>
      <c r="H26" s="1165"/>
      <c r="I26" s="1165"/>
    </row>
    <row r="27" spans="1:12" s="1134" customFormat="1" ht="14.25" customHeight="1">
      <c r="A27" s="1139"/>
      <c r="B27" s="1172"/>
      <c r="C27" s="27">
        <v>50</v>
      </c>
      <c r="D27" s="28" t="b">
        <f>E13=SUM(E14:E18)</f>
        <v>1</v>
      </c>
      <c r="E27" s="38" t="s">
        <v>2837</v>
      </c>
      <c r="F27" s="1165"/>
      <c r="G27" s="1165"/>
      <c r="H27" s="1165"/>
      <c r="I27" s="1165"/>
    </row>
    <row r="28" spans="1:12" s="1134" customFormat="1" ht="14.25" customHeight="1">
      <c r="A28" s="1135" t="s">
        <v>2969</v>
      </c>
      <c r="B28" s="1173"/>
      <c r="C28" s="1119">
        <v>60</v>
      </c>
      <c r="D28" s="1120" t="b">
        <f>D20=D4+D7+D13</f>
        <v>1</v>
      </c>
      <c r="E28" s="1121" t="s">
        <v>2928</v>
      </c>
      <c r="F28" s="1167"/>
      <c r="G28" s="1167"/>
      <c r="H28" s="1167"/>
      <c r="I28" s="1167"/>
      <c r="J28" s="1135"/>
      <c r="K28" s="1135"/>
      <c r="L28" s="1135"/>
    </row>
    <row r="29" spans="1:12" s="1134" customFormat="1" ht="14.25" customHeight="1">
      <c r="A29" s="1139"/>
      <c r="B29" s="1172"/>
      <c r="C29" s="27">
        <v>70</v>
      </c>
      <c r="D29" s="28" t="b">
        <f>E20=E7+E13</f>
        <v>1</v>
      </c>
      <c r="E29" s="38" t="s">
        <v>2838</v>
      </c>
      <c r="F29" s="1165"/>
      <c r="G29" s="1165"/>
      <c r="H29" s="1165"/>
      <c r="I29" s="1165"/>
    </row>
    <row r="30" spans="1:12" s="1134" customFormat="1" ht="14.25" customHeight="1">
      <c r="A30" s="1139"/>
      <c r="B30" s="1172"/>
      <c r="C30" s="27">
        <v>80</v>
      </c>
      <c r="D30" s="28" t="b">
        <f>D4='6.b'!C4+'6.b'!D4+'6.b'!E4</f>
        <v>1</v>
      </c>
      <c r="E30" s="38" t="s">
        <v>2839</v>
      </c>
      <c r="F30" s="1165"/>
      <c r="G30" s="1165"/>
      <c r="H30" s="1165"/>
      <c r="I30" s="1165"/>
    </row>
    <row r="31" spans="1:12" s="1134" customFormat="1" ht="14.25" customHeight="1">
      <c r="A31" s="1139"/>
      <c r="B31" s="1172"/>
      <c r="C31" s="27">
        <v>90</v>
      </c>
      <c r="D31" s="28" t="b">
        <f>D5='6.b'!C5+'6.b'!D5+'6.b'!E5</f>
        <v>1</v>
      </c>
      <c r="E31" s="38" t="s">
        <v>2840</v>
      </c>
      <c r="F31" s="1165"/>
      <c r="G31" s="1165"/>
      <c r="H31" s="1165"/>
      <c r="I31" s="1165"/>
    </row>
    <row r="32" spans="1:12" s="1134" customFormat="1" ht="14.25" customHeight="1">
      <c r="A32" s="1139"/>
      <c r="B32" s="1172"/>
      <c r="C32" s="27">
        <v>100</v>
      </c>
      <c r="D32" s="28" t="b">
        <f>D6='6.b'!C6+'6.b'!D6+'6.b'!E6</f>
        <v>1</v>
      </c>
      <c r="E32" s="38" t="s">
        <v>2841</v>
      </c>
      <c r="F32" s="1165"/>
      <c r="G32" s="1165"/>
      <c r="H32" s="1165"/>
      <c r="I32" s="1165"/>
    </row>
    <row r="33" spans="1:12" s="1134" customFormat="1" ht="14.25" customHeight="1">
      <c r="A33" s="1139"/>
      <c r="B33" s="1172"/>
      <c r="C33" s="27">
        <v>110</v>
      </c>
      <c r="D33" s="28" t="b">
        <f>D7='6.b'!C7+'6.b'!D7+'6.b'!E7</f>
        <v>1</v>
      </c>
      <c r="E33" s="38" t="s">
        <v>2842</v>
      </c>
      <c r="F33" s="1165"/>
      <c r="G33" s="1165"/>
      <c r="H33" s="1165"/>
      <c r="I33" s="1165"/>
    </row>
    <row r="34" spans="1:12" s="1134" customFormat="1" ht="14.25" customHeight="1">
      <c r="A34" s="1139"/>
      <c r="B34" s="1172"/>
      <c r="C34" s="27">
        <v>120</v>
      </c>
      <c r="D34" s="28" t="b">
        <f>D8='6.b'!C8+'6.b'!D8+'6.b'!E8</f>
        <v>1</v>
      </c>
      <c r="E34" s="38" t="s">
        <v>2843</v>
      </c>
      <c r="F34" s="1165"/>
      <c r="G34" s="1165"/>
      <c r="H34" s="1165"/>
      <c r="I34" s="1165"/>
    </row>
    <row r="35" spans="1:12" s="1134" customFormat="1" ht="13.5">
      <c r="A35" s="1139"/>
      <c r="B35" s="1172"/>
      <c r="C35" s="27">
        <v>130</v>
      </c>
      <c r="D35" s="28" t="b">
        <f>D9='6.b'!C9+'6.b'!D9+'6.b'!E9</f>
        <v>1</v>
      </c>
      <c r="E35" s="38" t="s">
        <v>2844</v>
      </c>
      <c r="F35" s="1139"/>
      <c r="G35" s="1139"/>
      <c r="H35" s="1139"/>
      <c r="I35" s="1139"/>
    </row>
    <row r="36" spans="1:12" s="1134" customFormat="1" ht="13.5">
      <c r="A36" s="1139"/>
      <c r="B36" s="1172"/>
      <c r="C36" s="27">
        <v>140</v>
      </c>
      <c r="D36" s="28" t="b">
        <f>D10='6.b'!C10+'6.b'!D10+'6.b'!E10</f>
        <v>1</v>
      </c>
      <c r="E36" s="38" t="s">
        <v>1430</v>
      </c>
      <c r="F36" s="38"/>
      <c r="G36" s="38"/>
      <c r="H36" s="38"/>
      <c r="I36" s="38"/>
      <c r="J36" s="38"/>
      <c r="K36" s="38"/>
      <c r="L36" s="38"/>
    </row>
    <row r="37" spans="1:12" s="1134" customFormat="1" ht="13.5">
      <c r="A37" s="1139"/>
      <c r="B37" s="1172"/>
      <c r="C37" s="27">
        <v>150</v>
      </c>
      <c r="D37" s="28" t="b">
        <f>D11='6.b'!C11+'6.b'!D11+'6.b'!E11</f>
        <v>1</v>
      </c>
      <c r="E37" s="38" t="s">
        <v>1431</v>
      </c>
      <c r="F37" s="38"/>
      <c r="G37" s="38"/>
      <c r="H37" s="38"/>
      <c r="I37" s="38"/>
      <c r="J37" s="38"/>
      <c r="K37" s="38"/>
      <c r="L37" s="38"/>
    </row>
    <row r="38" spans="1:12" s="1134" customFormat="1" ht="13.5">
      <c r="A38" s="1139"/>
      <c r="B38" s="1139"/>
      <c r="C38" s="27">
        <v>160</v>
      </c>
      <c r="D38" s="28" t="b">
        <f>D12='6.b'!C12+'6.b'!D12+'6.b'!E12</f>
        <v>1</v>
      </c>
      <c r="E38" s="1139" t="s">
        <v>1432</v>
      </c>
      <c r="F38" s="1139"/>
      <c r="G38" s="1139"/>
      <c r="H38" s="1139"/>
      <c r="I38" s="1139"/>
    </row>
    <row r="39" spans="1:12" s="1134" customFormat="1" ht="14.25" customHeight="1">
      <c r="A39" s="1139"/>
      <c r="B39" s="1172"/>
      <c r="C39" s="27">
        <v>170</v>
      </c>
      <c r="D39" s="28" t="b">
        <f>D13='6.b'!C13+'6.b'!D13+'6.b'!E13</f>
        <v>1</v>
      </c>
      <c r="E39" s="38" t="s">
        <v>1433</v>
      </c>
      <c r="F39" s="1165"/>
      <c r="G39" s="1165"/>
      <c r="H39" s="1165"/>
      <c r="I39" s="1165"/>
    </row>
    <row r="40" spans="1:12" s="1134" customFormat="1" ht="14.25" customHeight="1">
      <c r="A40" s="1139"/>
      <c r="B40" s="1172"/>
      <c r="C40" s="27">
        <v>180</v>
      </c>
      <c r="D40" s="28" t="b">
        <f>D14='6.b'!C14+'6.b'!D14+'6.b'!E14</f>
        <v>1</v>
      </c>
      <c r="E40" s="38" t="s">
        <v>1434</v>
      </c>
      <c r="F40" s="1165"/>
      <c r="G40" s="1165"/>
      <c r="H40" s="1165"/>
      <c r="I40" s="1165"/>
    </row>
    <row r="41" spans="1:12" s="1134" customFormat="1" ht="14.25" customHeight="1">
      <c r="A41" s="1139"/>
      <c r="B41" s="1172"/>
      <c r="C41" s="27">
        <v>190</v>
      </c>
      <c r="D41" s="28" t="b">
        <f>D15='6.b'!C15+'6.b'!D15+'6.b'!E15</f>
        <v>1</v>
      </c>
      <c r="E41" s="38" t="s">
        <v>1435</v>
      </c>
      <c r="F41" s="1165"/>
      <c r="G41" s="1165"/>
      <c r="H41" s="1165"/>
      <c r="I41" s="1165"/>
    </row>
    <row r="42" spans="1:12" s="1134" customFormat="1" ht="14.25" customHeight="1">
      <c r="A42" s="1139"/>
      <c r="B42" s="1172"/>
      <c r="C42" s="27">
        <v>200</v>
      </c>
      <c r="D42" s="28" t="b">
        <f>D16='6.b'!C16+'6.b'!D16+'6.b'!E16</f>
        <v>1</v>
      </c>
      <c r="E42" s="38" t="s">
        <v>1436</v>
      </c>
      <c r="F42" s="1165"/>
      <c r="G42" s="1165"/>
      <c r="H42" s="1165"/>
      <c r="I42" s="1165"/>
    </row>
    <row r="43" spans="1:12" s="1134" customFormat="1" ht="14.25" customHeight="1">
      <c r="A43" s="1139"/>
      <c r="B43" s="1172"/>
      <c r="C43" s="27">
        <v>210</v>
      </c>
      <c r="D43" s="28" t="b">
        <f>D17='6.b'!C17+'6.b'!D17+'6.b'!E17</f>
        <v>1</v>
      </c>
      <c r="E43" s="38" t="s">
        <v>1437</v>
      </c>
      <c r="F43" s="1165"/>
      <c r="G43" s="1165"/>
      <c r="H43" s="1165"/>
      <c r="I43" s="1165"/>
    </row>
    <row r="44" spans="1:12" s="1134" customFormat="1" ht="14.25" customHeight="1">
      <c r="A44" s="1139"/>
      <c r="B44" s="1172"/>
      <c r="C44" s="27">
        <v>220</v>
      </c>
      <c r="D44" s="28" t="b">
        <f>D18='6.b'!C18+'6.b'!D18+'6.b'!E18</f>
        <v>1</v>
      </c>
      <c r="E44" s="38" t="s">
        <v>1438</v>
      </c>
      <c r="F44" s="1165"/>
      <c r="G44" s="1165"/>
      <c r="H44" s="1165"/>
      <c r="I44" s="1165"/>
    </row>
    <row r="45" spans="1:12" s="1134" customFormat="1" ht="14.25" customHeight="1">
      <c r="A45" s="1139"/>
      <c r="B45" s="1172"/>
      <c r="C45" s="27">
        <v>230</v>
      </c>
      <c r="D45" s="28" t="b">
        <f>D20='1.1'!E5</f>
        <v>1</v>
      </c>
      <c r="E45" s="38" t="s">
        <v>1439</v>
      </c>
      <c r="F45" s="1165"/>
      <c r="G45" s="1165"/>
      <c r="H45" s="1165"/>
      <c r="I45" s="1165"/>
    </row>
    <row r="46" spans="1:12" s="1134" customFormat="1" ht="14.25" customHeight="1">
      <c r="A46" s="1139"/>
      <c r="B46" s="1172"/>
      <c r="C46" s="27">
        <v>240</v>
      </c>
      <c r="D46" s="28" t="b">
        <f>IF(D7,TRUE,FALSE)=IF(E7,TRUE,FALSE)</f>
        <v>1</v>
      </c>
      <c r="E46" s="38" t="s">
        <v>1440</v>
      </c>
      <c r="F46" s="1165"/>
      <c r="G46" s="1165"/>
      <c r="H46" s="1165"/>
      <c r="I46" s="1165"/>
    </row>
    <row r="47" spans="1:12" s="1134" customFormat="1" ht="14.25" customHeight="1">
      <c r="A47" s="1139"/>
      <c r="B47" s="1172"/>
      <c r="C47" s="27">
        <v>250</v>
      </c>
      <c r="D47" s="28" t="b">
        <f t="shared" ref="D47:D57" si="0">IF(D8,TRUE,FALSE)=IF(E8,TRUE,FALSE)</f>
        <v>1</v>
      </c>
      <c r="E47" s="38" t="s">
        <v>1441</v>
      </c>
      <c r="F47" s="1165"/>
      <c r="G47" s="1165"/>
      <c r="H47" s="1165"/>
      <c r="I47" s="1165"/>
    </row>
    <row r="48" spans="1:12" s="1134" customFormat="1" ht="14.25" customHeight="1">
      <c r="A48" s="1139"/>
      <c r="B48" s="1172"/>
      <c r="C48" s="27">
        <v>260</v>
      </c>
      <c r="D48" s="28" t="b">
        <f t="shared" si="0"/>
        <v>1</v>
      </c>
      <c r="E48" s="38" t="s">
        <v>1442</v>
      </c>
      <c r="F48" s="1165"/>
      <c r="G48" s="1165"/>
      <c r="H48" s="1165"/>
      <c r="I48" s="1165"/>
    </row>
    <row r="49" spans="1:12" s="1134" customFormat="1" ht="14.25" customHeight="1">
      <c r="A49" s="1139"/>
      <c r="B49" s="1172"/>
      <c r="C49" s="27">
        <v>270</v>
      </c>
      <c r="D49" s="28" t="b">
        <f t="shared" si="0"/>
        <v>1</v>
      </c>
      <c r="E49" s="38" t="s">
        <v>1443</v>
      </c>
      <c r="F49" s="1165"/>
      <c r="G49" s="1165"/>
      <c r="H49" s="1165"/>
      <c r="I49" s="1165"/>
    </row>
    <row r="50" spans="1:12" s="1134" customFormat="1" ht="14.25" customHeight="1">
      <c r="A50" s="1139"/>
      <c r="B50" s="1172"/>
      <c r="C50" s="27">
        <v>280</v>
      </c>
      <c r="D50" s="28" t="b">
        <f t="shared" si="0"/>
        <v>1</v>
      </c>
      <c r="E50" s="38" t="s">
        <v>1444</v>
      </c>
      <c r="F50" s="1165"/>
      <c r="G50" s="1165"/>
      <c r="H50" s="1165"/>
      <c r="I50" s="1165"/>
    </row>
    <row r="51" spans="1:12" s="1134" customFormat="1" ht="13.5">
      <c r="A51" s="1139"/>
      <c r="B51" s="1172"/>
      <c r="C51" s="27">
        <v>290</v>
      </c>
      <c r="D51" s="28" t="b">
        <f t="shared" si="0"/>
        <v>1</v>
      </c>
      <c r="E51" s="38" t="s">
        <v>1445</v>
      </c>
      <c r="F51" s="1139"/>
      <c r="G51" s="1139"/>
      <c r="H51" s="1139"/>
    </row>
    <row r="52" spans="1:12" s="1134" customFormat="1" ht="13.5">
      <c r="A52" s="1139"/>
      <c r="B52" s="1172"/>
      <c r="C52" s="27">
        <v>300</v>
      </c>
      <c r="D52" s="28" t="b">
        <f t="shared" si="0"/>
        <v>1</v>
      </c>
      <c r="E52" s="38" t="s">
        <v>1446</v>
      </c>
      <c r="F52" s="38"/>
      <c r="G52" s="38"/>
      <c r="H52" s="38"/>
      <c r="I52" s="38"/>
      <c r="J52" s="38"/>
      <c r="K52" s="38"/>
      <c r="L52" s="38"/>
    </row>
    <row r="53" spans="1:12" s="1134" customFormat="1" ht="14.25" customHeight="1">
      <c r="A53" s="1139"/>
      <c r="B53" s="1172"/>
      <c r="C53" s="27">
        <v>310</v>
      </c>
      <c r="D53" s="28" t="b">
        <f t="shared" si="0"/>
        <v>1</v>
      </c>
      <c r="E53" s="38" t="s">
        <v>1447</v>
      </c>
      <c r="F53" s="1165"/>
      <c r="G53" s="1165"/>
      <c r="H53" s="1165"/>
      <c r="I53" s="1165"/>
    </row>
    <row r="54" spans="1:12" s="1134" customFormat="1" ht="14.25" customHeight="1">
      <c r="A54" s="1139"/>
      <c r="B54" s="1172"/>
      <c r="C54" s="27">
        <v>320</v>
      </c>
      <c r="D54" s="28" t="b">
        <f t="shared" si="0"/>
        <v>1</v>
      </c>
      <c r="E54" s="38" t="s">
        <v>1448</v>
      </c>
      <c r="F54" s="1165"/>
      <c r="G54" s="1165"/>
      <c r="H54" s="1165"/>
      <c r="I54" s="1165"/>
    </row>
    <row r="55" spans="1:12" s="1134" customFormat="1" ht="14.25" customHeight="1">
      <c r="A55" s="1139"/>
      <c r="B55" s="1172"/>
      <c r="C55" s="27">
        <v>330</v>
      </c>
      <c r="D55" s="28" t="b">
        <f t="shared" si="0"/>
        <v>1</v>
      </c>
      <c r="E55" s="38" t="s">
        <v>1449</v>
      </c>
      <c r="F55" s="1165"/>
      <c r="G55" s="1165"/>
      <c r="H55" s="1165"/>
      <c r="I55" s="1165"/>
    </row>
    <row r="56" spans="1:12" s="1134" customFormat="1" ht="14.25" customHeight="1">
      <c r="A56" s="1139"/>
      <c r="B56" s="1172"/>
      <c r="C56" s="27">
        <v>340</v>
      </c>
      <c r="D56" s="28" t="b">
        <f t="shared" si="0"/>
        <v>1</v>
      </c>
      <c r="E56" s="38" t="s">
        <v>1450</v>
      </c>
      <c r="F56" s="1165"/>
      <c r="G56" s="1165"/>
      <c r="H56" s="1165"/>
      <c r="I56" s="1165"/>
    </row>
    <row r="57" spans="1:12" s="1134" customFormat="1" ht="14.25" customHeight="1">
      <c r="A57" s="1139"/>
      <c r="B57" s="1172"/>
      <c r="C57" s="27">
        <v>350</v>
      </c>
      <c r="D57" s="28" t="b">
        <f t="shared" si="0"/>
        <v>1</v>
      </c>
      <c r="E57" s="38" t="s">
        <v>1451</v>
      </c>
      <c r="F57" s="1165"/>
      <c r="G57" s="1165"/>
      <c r="H57" s="1165"/>
      <c r="I57" s="1165"/>
    </row>
    <row r="58" spans="1:12" s="1134" customFormat="1" ht="14.25" customHeight="1">
      <c r="A58" s="1139"/>
      <c r="B58" s="1172"/>
      <c r="C58" s="27">
        <v>360</v>
      </c>
      <c r="D58" s="28" t="b">
        <f>IF(D20,TRUE,FALSE)=IF(E20,TRUE,FALSE)</f>
        <v>1</v>
      </c>
      <c r="E58" s="38" t="s">
        <v>1452</v>
      </c>
      <c r="F58" s="1165"/>
      <c r="G58" s="1165"/>
      <c r="H58" s="1165"/>
      <c r="I58" s="1165"/>
    </row>
    <row r="59" spans="1:12" s="1134" customFormat="1" ht="14.25" customHeight="1">
      <c r="A59" s="1135" t="s">
        <v>2969</v>
      </c>
      <c r="B59" s="1173"/>
      <c r="C59" s="1119">
        <v>370</v>
      </c>
      <c r="D59" s="1120" t="b">
        <f>D19=0</f>
        <v>1</v>
      </c>
      <c r="E59" s="1121" t="s">
        <v>2927</v>
      </c>
      <c r="F59" s="1167"/>
      <c r="G59" s="1167"/>
      <c r="H59" s="1167"/>
      <c r="I59" s="1167"/>
    </row>
    <row r="60" spans="1:12" ht="15.75">
      <c r="A60" s="1139"/>
      <c r="B60" s="2"/>
      <c r="C60" s="27"/>
      <c r="D60" s="28"/>
      <c r="E60" s="38"/>
      <c r="F60" s="40"/>
      <c r="G60" s="40"/>
      <c r="H60" s="40"/>
      <c r="I60" s="41"/>
      <c r="J60" s="2"/>
    </row>
  </sheetData>
  <customSheetViews>
    <customSheetView guid="{5D819D0C-25F7-408A-B978-F4F86F7655CA}" showPageBreaks="1" showRuler="0">
      <selection activeCell="A23" sqref="A23"/>
      <pageMargins left="0.75" right="0.75" top="1" bottom="1" header="0.5" footer="0.5"/>
      <pageSetup paperSize="8" scale="85" orientation="portrait" r:id="rId1"/>
      <headerFooter alignWithMargins="0"/>
    </customSheetView>
    <customSheetView guid="{38D2783F-AA27-4F4E-971B-4DC317F376AA}" scale="75" showGridLines="0" showRuler="0">
      <selection activeCell="A14" sqref="A14"/>
      <pageMargins left="0.75" right="0.75" top="1" bottom="1" header="0.5" footer="0.5"/>
      <pageSetup paperSize="8" scale="85" orientation="portrait" r:id="rId2"/>
      <headerFooter alignWithMargins="0"/>
    </customSheetView>
    <customSheetView guid="{5B30C222-34DE-40B1-88FD-0AC1604C96E8}" scale="75" showGridLines="0" showRuler="0">
      <selection activeCell="A14" sqref="A14"/>
      <pageMargins left="0.75" right="0.75" top="1" bottom="1" header="0.5" footer="0.5"/>
      <pageSetup paperSize="8" scale="85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8" scale="142" orientation="landscape" r:id="rId4"/>
  <headerFooter alignWithMargins="0">
    <oddHeader>&amp;C6.A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78</vt:i4>
      </vt:variant>
      <vt:variant>
        <vt:lpstr>Named Ranges</vt:lpstr>
      </vt:variant>
      <vt:variant>
        <vt:i4>29</vt:i4>
      </vt:variant>
    </vt:vector>
  </HeadingPairs>
  <TitlesOfParts>
    <vt:vector size="107" baseType="lpstr">
      <vt:lpstr>1.1</vt:lpstr>
      <vt:lpstr>1.2</vt:lpstr>
      <vt:lpstr>1.3</vt:lpstr>
      <vt:lpstr>2.0</vt:lpstr>
      <vt:lpstr>3.a</vt:lpstr>
      <vt:lpstr>3.b</vt:lpstr>
      <vt:lpstr>4.0</vt:lpstr>
      <vt:lpstr>5.0</vt:lpstr>
      <vt:lpstr>6.a</vt:lpstr>
      <vt:lpstr>6.b</vt:lpstr>
      <vt:lpstr>7.a</vt:lpstr>
      <vt:lpstr>7.b</vt:lpstr>
      <vt:lpstr>8.a</vt:lpstr>
      <vt:lpstr>8.b</vt:lpstr>
      <vt:lpstr>8.c</vt:lpstr>
      <vt:lpstr>9.a</vt:lpstr>
      <vt:lpstr>9.b</vt:lpstr>
      <vt:lpstr>10.0</vt:lpstr>
      <vt:lpstr>11.a</vt:lpstr>
      <vt:lpstr>11.b</vt:lpstr>
      <vt:lpstr>12.0</vt:lpstr>
      <vt:lpstr>13.a</vt:lpstr>
      <vt:lpstr>13.b</vt:lpstr>
      <vt:lpstr>14.A</vt:lpstr>
      <vt:lpstr>14.B</vt:lpstr>
      <vt:lpstr>15.a</vt:lpstr>
      <vt:lpstr>15.b</vt:lpstr>
      <vt:lpstr>16.a</vt:lpstr>
      <vt:lpstr>16.b</vt:lpstr>
      <vt:lpstr>17.0</vt:lpstr>
      <vt:lpstr>18.0</vt:lpstr>
      <vt:lpstr>19.0</vt:lpstr>
      <vt:lpstr>20.a</vt:lpstr>
      <vt:lpstr>20.b</vt:lpstr>
      <vt:lpstr>21.a</vt:lpstr>
      <vt:lpstr>21.b</vt:lpstr>
      <vt:lpstr>22.a</vt:lpstr>
      <vt:lpstr>22.b</vt:lpstr>
      <vt:lpstr>23.0</vt:lpstr>
      <vt:lpstr>24.0</vt:lpstr>
      <vt:lpstr>25.0</vt:lpstr>
      <vt:lpstr>26.0</vt:lpstr>
      <vt:lpstr>27.0</vt:lpstr>
      <vt:lpstr>28.0</vt:lpstr>
      <vt:lpstr>29.0</vt:lpstr>
      <vt:lpstr>30.0</vt:lpstr>
      <vt:lpstr>31.0</vt:lpstr>
      <vt:lpstr>32.0</vt:lpstr>
      <vt:lpstr>33.0</vt:lpstr>
      <vt:lpstr>34.0</vt:lpstr>
      <vt:lpstr>35.0</vt:lpstr>
      <vt:lpstr>36.0</vt:lpstr>
      <vt:lpstr>37.a</vt:lpstr>
      <vt:lpstr>37.b </vt:lpstr>
      <vt:lpstr>37.c</vt:lpstr>
      <vt:lpstr>37.d </vt:lpstr>
      <vt:lpstr>37.e</vt:lpstr>
      <vt:lpstr>38.0</vt:lpstr>
      <vt:lpstr>39.a</vt:lpstr>
      <vt:lpstr>39.b</vt:lpstr>
      <vt:lpstr>39.c</vt:lpstr>
      <vt:lpstr>39.d</vt:lpstr>
      <vt:lpstr>40.a</vt:lpstr>
      <vt:lpstr>40.b</vt:lpstr>
      <vt:lpstr>40.c</vt:lpstr>
      <vt:lpstr>40.d</vt:lpstr>
      <vt:lpstr>41.a</vt:lpstr>
      <vt:lpstr>41.b</vt:lpstr>
      <vt:lpstr>41.c</vt:lpstr>
      <vt:lpstr>42.0</vt:lpstr>
      <vt:lpstr>43.0</vt:lpstr>
      <vt:lpstr>44.a</vt:lpstr>
      <vt:lpstr>44 .b</vt:lpstr>
      <vt:lpstr>44.c </vt:lpstr>
      <vt:lpstr>45</vt:lpstr>
      <vt:lpstr>46.a</vt:lpstr>
      <vt:lpstr>46.b</vt:lpstr>
      <vt:lpstr>46.c</vt:lpstr>
      <vt:lpstr>'1.1'!Print_Area</vt:lpstr>
      <vt:lpstr>'1.2'!Print_Area</vt:lpstr>
      <vt:lpstr>'1.3'!Print_Area</vt:lpstr>
      <vt:lpstr>'10.0'!Print_Area</vt:lpstr>
      <vt:lpstr>'11.a'!Print_Area</vt:lpstr>
      <vt:lpstr>'13.a'!Print_Area</vt:lpstr>
      <vt:lpstr>'19.0'!Print_Area</vt:lpstr>
      <vt:lpstr>'22.a'!Print_Area</vt:lpstr>
      <vt:lpstr>'22.b'!Print_Area</vt:lpstr>
      <vt:lpstr>'24.0'!Print_Area</vt:lpstr>
      <vt:lpstr>'28.0'!Print_Area</vt:lpstr>
      <vt:lpstr>'3.a'!Print_Area</vt:lpstr>
      <vt:lpstr>'32.0'!Print_Area</vt:lpstr>
      <vt:lpstr>'37.b '!Print_Area</vt:lpstr>
      <vt:lpstr>'37.e'!Print_Area</vt:lpstr>
      <vt:lpstr>'38.0'!Print_Area</vt:lpstr>
      <vt:lpstr>'39.a'!Print_Area</vt:lpstr>
      <vt:lpstr>'4.0'!Print_Area</vt:lpstr>
      <vt:lpstr>'40.b'!Print_Area</vt:lpstr>
      <vt:lpstr>'42.0'!Print_Area</vt:lpstr>
      <vt:lpstr>'44.a'!Print_Area</vt:lpstr>
      <vt:lpstr>'5.0'!Print_Area</vt:lpstr>
      <vt:lpstr>'6.a'!Print_Area</vt:lpstr>
      <vt:lpstr>'6.b'!Print_Area</vt:lpstr>
      <vt:lpstr>'7.a'!Print_Area</vt:lpstr>
      <vt:lpstr>'7.b'!Print_Area</vt:lpstr>
      <vt:lpstr>'8.a'!Print_Area</vt:lpstr>
      <vt:lpstr>'8.c'!Print_Area</vt:lpstr>
      <vt:lpstr>'9.a'!Print_Area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Etablissements de crédit - Circulaires &amp; communications - Informations périodiques et règles comptables - Sample figures</dc:title>
  <dc:creator>CBFA</dc:creator>
  <cp:lastModifiedBy>Mark Creemers</cp:lastModifiedBy>
  <cp:lastPrinted>2008-04-04T12:41:03Z</cp:lastPrinted>
  <dcterms:created xsi:type="dcterms:W3CDTF">2006-08-04T12:55:17Z</dcterms:created>
  <dcterms:modified xsi:type="dcterms:W3CDTF">2012-09-18T15:31:19Z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-212601486</vt:i4>
  </property>
  <property fmtid="{D5CDD505-2E9C-101B-9397-08002B2CF9AE}" pid="3" name="_NewReviewCycle">
    <vt:lpwstr/>
  </property>
  <property fmtid="{D5CDD505-2E9C-101B-9397-08002B2CF9AE}" pid="4" name="_EmailSubject">
    <vt:lpwstr>Adaptation site NBB</vt:lpwstr>
  </property>
  <property fmtid="{D5CDD505-2E9C-101B-9397-08002B2CF9AE}" pid="5" name="_AuthorEmail">
    <vt:lpwstr>Mark.Creemers@nbb.be</vt:lpwstr>
  </property>
  <property fmtid="{D5CDD505-2E9C-101B-9397-08002B2CF9AE}" pid="6" name="_AuthorEmailDisplayName">
    <vt:lpwstr>Creemers Mark</vt:lpwstr>
  </property>
  <property fmtid="{D5CDD505-2E9C-101B-9397-08002B2CF9AE}" pid="7" name="_PreviousAdHocReviewCycleID">
    <vt:i4>-1320049659</vt:i4>
  </property>
</Properties>
</file>